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2_7.bin" ContentType="application/vnd.openxmlformats-officedocument.oleObject"/>
  <Override PartName="/xl/embeddings/oleObject_2_8.bin" ContentType="application/vnd.openxmlformats-officedocument.oleObject"/>
  <Override PartName="/xl/embeddings/oleObject_2_9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5480" windowHeight="11640" firstSheet="1" activeTab="5"/>
  </bookViews>
  <sheets>
    <sheet name="DATOS ENTRADA" sheetId="1" r:id="rId1"/>
    <sheet name="TUBERIA LATERAL" sheetId="2" r:id="rId2"/>
    <sheet name="TUBERIA TERCIARIA" sheetId="3" r:id="rId3"/>
    <sheet name="OPERACION" sheetId="4" r:id="rId4"/>
    <sheet name="TUBERIA SECUNDARIA" sheetId="5" r:id="rId5"/>
    <sheet name="TUBERIA PRINCIPAL" sheetId="6" r:id="rId6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<sst xmlns="http://schemas.openxmlformats.org/spreadsheetml/2006/main" count="417" uniqueCount="219">
  <si>
    <t>DATOS DE ENTRADA</t>
  </si>
  <si>
    <t>COEFICIENTE DE UNIFORMIDAD (CU) =</t>
  </si>
  <si>
    <t>COEFICIENTE DE VARIACION (CV) =</t>
  </si>
  <si>
    <t>CAUDAL NORMAL DEL GOTERO (q) =</t>
  </si>
  <si>
    <t>COEFICIENTE DE LA ECUACION DEL GOTERO (K) =</t>
  </si>
  <si>
    <t>EXPONENTE DE LA ECUACION DEL GOTERO (n) =</t>
  </si>
  <si>
    <t>NUMERO DE GOTEROS POR METRO LINEAL ( e ) =</t>
  </si>
  <si>
    <t>PRESION NORMAL DEL GOTERO (h) =</t>
  </si>
  <si>
    <t>m</t>
  </si>
  <si>
    <t>PERDIDA DE CARGA PERMISIBLE EN UNA SUBUNIDAD (PCP)</t>
  </si>
  <si>
    <t>PCP =</t>
  </si>
  <si>
    <r>
      <t>CAUDAL MINIMO (q</t>
    </r>
    <r>
      <rPr>
        <sz val="8"/>
        <color indexed="8"/>
        <rFont val="Arial"/>
        <family val="2"/>
      </rPr>
      <t>min</t>
    </r>
    <r>
      <rPr>
        <sz val="12"/>
        <color theme="1"/>
        <rFont val="Arial"/>
        <family val="2"/>
      </rPr>
      <t>) =</t>
    </r>
  </si>
  <si>
    <r>
      <t>PRESION MINIMA (h</t>
    </r>
    <r>
      <rPr>
        <sz val="8"/>
        <color indexed="8"/>
        <rFont val="Arial"/>
        <family val="2"/>
      </rPr>
      <t>min</t>
    </r>
    <r>
      <rPr>
        <sz val="12"/>
        <color theme="1"/>
        <rFont val="Arial"/>
        <family val="2"/>
      </rPr>
      <t>) =</t>
    </r>
  </si>
  <si>
    <t>UNA SUBUNIDAD DE RIEGO ESTA INTEGRADA POR TUBERIA TERCIARIA Y TUBERIA LATERAL</t>
  </si>
  <si>
    <t>SE DISTRIBUYE LA PERDIDA DE CARGA PERMISIBLE (PCP) ENTRE LA TUBERIA LATERAL Y TERCIARIA</t>
  </si>
  <si>
    <t>%</t>
  </si>
  <si>
    <r>
      <t>PERDIDA DE CARGA EN TUBERIA LATERAL (</t>
    </r>
    <r>
      <rPr>
        <sz val="12"/>
        <color indexed="8"/>
        <rFont val="Symbol"/>
        <family val="1"/>
      </rPr>
      <t>D</t>
    </r>
    <r>
      <rPr>
        <sz val="12"/>
        <color theme="1"/>
        <rFont val="Arial"/>
        <family val="2"/>
      </rPr>
      <t>hl ) =</t>
    </r>
  </si>
  <si>
    <r>
      <t xml:space="preserve">COMPROBACION LA SUMA DE </t>
    </r>
    <r>
      <rPr>
        <sz val="12"/>
        <color indexed="8"/>
        <rFont val="Symbol"/>
        <family val="1"/>
      </rPr>
      <t>D</t>
    </r>
    <r>
      <rPr>
        <sz val="12"/>
        <color theme="1"/>
        <rFont val="Arial"/>
        <family val="2"/>
      </rPr>
      <t xml:space="preserve">hl Y </t>
    </r>
    <r>
      <rPr>
        <sz val="12"/>
        <color indexed="8"/>
        <rFont val="Symbol"/>
        <family val="1"/>
      </rPr>
      <t>D</t>
    </r>
    <r>
      <rPr>
        <sz val="12"/>
        <color theme="1"/>
        <rFont val="Arial"/>
        <family val="2"/>
      </rPr>
      <t>hT DEBE SER IGUAL A PCP</t>
    </r>
  </si>
  <si>
    <r>
      <rPr>
        <sz val="12"/>
        <color indexed="8"/>
        <rFont val="Symbol"/>
        <family val="1"/>
      </rPr>
      <t>D</t>
    </r>
    <r>
      <rPr>
        <sz val="12"/>
        <color theme="1"/>
        <rFont val="Arial"/>
        <family val="2"/>
      </rPr>
      <t xml:space="preserve">hl + </t>
    </r>
    <r>
      <rPr>
        <sz val="12"/>
        <color indexed="8"/>
        <rFont val="Symbol"/>
        <family val="1"/>
      </rPr>
      <t>D</t>
    </r>
    <r>
      <rPr>
        <sz val="12"/>
        <color theme="1"/>
        <rFont val="Arial"/>
        <family val="2"/>
      </rPr>
      <t>hT =</t>
    </r>
  </si>
  <si>
    <t>lph</t>
  </si>
  <si>
    <t>PORCENTAJE QUE ASIGNA A LA TUBERIA LATERAL(% hl) =</t>
  </si>
  <si>
    <t>PORCENTAJE QUE ASIGNA A LA TUBERIA TERCIARIA (% hT) =</t>
  </si>
  <si>
    <t>CALCULO DEL DIAMETRO Y LONGITUD DE TUBERIA LATERAL</t>
  </si>
  <si>
    <t>2.- SE CALCULA O VERIFICA LA LONGITUD DE LAS LINEAS LATERALES UNICAMENTE SI SE TRATA DE CINTA DE RIEGO</t>
  </si>
  <si>
    <t xml:space="preserve">      CON GOTEROS INDIVIDUALES INSERTADOS (SE CONSIDERA EL DIAMENTRO INTERIOR PORQUE ES LO QUE ESTA </t>
  </si>
  <si>
    <t xml:space="preserve">       EN CONTACTO CON EL AGUA Y GENERA LA FRICCION)</t>
  </si>
  <si>
    <t>SELECCIONE SI SE TRATA DE CINTA DE RIEGO O GOTERO DE BOTON</t>
  </si>
  <si>
    <t>CINTA DE RIEGO</t>
  </si>
  <si>
    <t>GOTERO DE BOTON</t>
  </si>
  <si>
    <t>PRESION NORMAL DE OPERACIÓN DEL GOTERO (h) =</t>
  </si>
  <si>
    <t>CAUDAL NORMAL DE OPERACIÓN DEL GOTERO (q) =</t>
  </si>
  <si>
    <t>LONGITUD DE LA TUBERIA LATERAL(L) =</t>
  </si>
  <si>
    <t>SEPARACION DE GOTEROS (Se) =</t>
  </si>
  <si>
    <t>PENDIENTE DEL TERRENO EN EL SENTIDO DE LATERALES (S) =</t>
  </si>
  <si>
    <t>PERDIDA POR FRICCION DEBIDO A LA CONEXIÓN DEL GOTERO (fe) =</t>
  </si>
  <si>
    <t>SI VA A UTILIZAR GOTERO DE BOTON ENTONCES DETERMINAR ELDIAMENTRO DE TUBERIA DE POLIETILENO (PE)</t>
  </si>
  <si>
    <t>1.- SE DETERMINA EL DIAMETRO DE LA TUBERIA LATERAL UNICAMENTE SI SE TRATA DE TUBERIA DE POLIETILENO (PE)</t>
  </si>
  <si>
    <t>SELECCIONAR EL DIAMETRO DE LA TUBERIA</t>
  </si>
  <si>
    <t>10 mm</t>
  </si>
  <si>
    <t>13.6 mm</t>
  </si>
  <si>
    <t>17.2 mm</t>
  </si>
  <si>
    <t>21.8 mm</t>
  </si>
  <si>
    <t>28.4 mm</t>
  </si>
  <si>
    <t>a) PRIMERAMENTE SE PROPONE UN DIAMENTRO (DADO QUE LAS PRESIONES QUE SE MANEJAN SON BAJAS</t>
  </si>
  <si>
    <t xml:space="preserve">      SE CONSIDERA UNICAMENTE LOS DIAMETROS EXISTENTES PARA TUBERIA DE BAJA DENSIDAD CLASE 2.5)</t>
  </si>
  <si>
    <t>Þ</t>
  </si>
  <si>
    <t>CALCULAR EL NUMERO DE GOTEROS POR LATERAL (n) =</t>
  </si>
  <si>
    <t>goteros</t>
  </si>
  <si>
    <t>CALCULAR EL CAUDAL EN EL LATERAL (ql) =</t>
  </si>
  <si>
    <t>CONVERTIR EL CAUDAL A LITROS POR SEGUNDOS (lps) =</t>
  </si>
  <si>
    <t>lps</t>
  </si>
  <si>
    <t>CALCULAR LA PERDIDA DE CARGA UNITARIA (J) =</t>
  </si>
  <si>
    <t>m/100 m</t>
  </si>
  <si>
    <t>AJUSTE DE LA PERDIDA DE CARGA UNITARIA (J') =</t>
  </si>
  <si>
    <t>CALCULAR EL COEFICIENTE DE CHRISTIANSEN (F) =</t>
  </si>
  <si>
    <t>CALCULAR PERDIDAS POR FRICCION EN LA TUBERIA (hf) =</t>
  </si>
  <si>
    <t>CALCULAR LA CARGA A LA ENTRADA DEL LATERAL (hl) =</t>
  </si>
  <si>
    <t>CALCULAR LA CARGA AL FINAL DEL LATERAL (hn) =</t>
  </si>
  <si>
    <r>
      <t>DIFERENCIA DE CARGA ENTRE LA ENTRADA Y EL FINAL (</t>
    </r>
    <r>
      <rPr>
        <sz val="12"/>
        <color indexed="8"/>
        <rFont val="Symbol"/>
        <family val="1"/>
      </rPr>
      <t>D</t>
    </r>
    <r>
      <rPr>
        <sz val="12"/>
        <color theme="1"/>
        <rFont val="Arial"/>
        <family val="2"/>
      </rPr>
      <t>h</t>
    </r>
    <r>
      <rPr>
        <sz val="12"/>
        <color indexed="8"/>
        <rFont val="Symbol"/>
        <family val="1"/>
      </rPr>
      <t>) =</t>
    </r>
  </si>
  <si>
    <r>
      <t>SE COMPARA LA DIFERENCIA DE CARGA CALCULADA (</t>
    </r>
    <r>
      <rPr>
        <sz val="12"/>
        <color indexed="8"/>
        <rFont val="Symbol"/>
        <family val="1"/>
      </rPr>
      <t>D</t>
    </r>
    <r>
      <rPr>
        <sz val="12"/>
        <color indexed="8"/>
        <rFont val="Arial"/>
        <family val="2"/>
      </rPr>
      <t xml:space="preserve"> h) CON LA PERDIDA DE CARGA PERMISIBLE EN EL LATERAL (</t>
    </r>
    <r>
      <rPr>
        <sz val="12"/>
        <color indexed="8"/>
        <rFont val="Symbol"/>
        <family val="1"/>
      </rPr>
      <t>D</t>
    </r>
    <r>
      <rPr>
        <sz val="12"/>
        <color indexed="8"/>
        <rFont val="Arial"/>
        <family val="2"/>
      </rPr>
      <t>hl)</t>
    </r>
  </si>
  <si>
    <t>LA CONDICION PARA QUE SE ACEPTE EL DIAMETRO ES:</t>
  </si>
  <si>
    <t>¿CUMPLE LA CONDICION? =</t>
  </si>
  <si>
    <r>
      <t xml:space="preserve">SI </t>
    </r>
    <r>
      <rPr>
        <sz val="12"/>
        <color indexed="8"/>
        <rFont val="Symbol"/>
        <family val="1"/>
      </rPr>
      <t>D</t>
    </r>
    <r>
      <rPr>
        <sz val="12"/>
        <color theme="1"/>
        <rFont val="Arial"/>
        <family val="2"/>
      </rPr>
      <t>h</t>
    </r>
    <r>
      <rPr>
        <sz val="12"/>
        <color indexed="8"/>
        <rFont val="Symbol"/>
        <family val="1"/>
      </rPr>
      <t xml:space="preserve"> </t>
    </r>
    <r>
      <rPr>
        <sz val="12"/>
        <color theme="1"/>
        <rFont val="Arial"/>
        <family val="2"/>
      </rPr>
      <t>≥ 0.80*</t>
    </r>
    <r>
      <rPr>
        <sz val="12"/>
        <color indexed="8"/>
        <rFont val="Symbol"/>
        <family val="1"/>
      </rPr>
      <t>D</t>
    </r>
    <r>
      <rPr>
        <sz val="12"/>
        <color indexed="8"/>
        <rFont val="Arial"/>
        <family val="2"/>
      </rPr>
      <t>hl SE ACEPTA EL DIAMETRO DE TUBERIA</t>
    </r>
  </si>
  <si>
    <r>
      <t xml:space="preserve">SI </t>
    </r>
    <r>
      <rPr>
        <sz val="12"/>
        <color indexed="8"/>
        <rFont val="Symbol"/>
        <family val="1"/>
      </rPr>
      <t>D</t>
    </r>
    <r>
      <rPr>
        <sz val="12"/>
        <color theme="1"/>
        <rFont val="Arial"/>
        <family val="2"/>
      </rPr>
      <t>h</t>
    </r>
    <r>
      <rPr>
        <sz val="12"/>
        <color indexed="8"/>
        <rFont val="Symbol"/>
        <family val="1"/>
      </rPr>
      <t xml:space="preserve"> </t>
    </r>
    <r>
      <rPr>
        <sz val="12"/>
        <color theme="1"/>
        <rFont val="Arial"/>
        <family val="2"/>
      </rPr>
      <t>≤ 1.20*</t>
    </r>
    <r>
      <rPr>
        <sz val="12"/>
        <color indexed="8"/>
        <rFont val="Symbol"/>
        <family val="1"/>
      </rPr>
      <t>D</t>
    </r>
    <r>
      <rPr>
        <sz val="12"/>
        <color indexed="8"/>
        <rFont val="Arial"/>
        <family val="2"/>
      </rPr>
      <t>hl SE ACEPTA EL DIAMETRO DE TUBERIA</t>
    </r>
  </si>
  <si>
    <t>LA PERDIDA DE CARGA PERMISIBLE EN TUBERIA LATERAL Y TUBERIA TERCIARIA ADQUIERE NUEVOS VALORES</t>
  </si>
  <si>
    <t xml:space="preserve">      PORQUE LA CINTA DE RIEGO YA TIENE EL DIAMETRO DEFINIDO PARA UN CAUDAL DETERMINADO</t>
  </si>
  <si>
    <r>
      <t>PERDIDA DE CARGA EN TUBERIA TERCIARIA (</t>
    </r>
    <r>
      <rPr>
        <sz val="12"/>
        <color indexed="8"/>
        <rFont val="Symbol"/>
        <family val="1"/>
      </rPr>
      <t>D</t>
    </r>
    <r>
      <rPr>
        <sz val="12"/>
        <color theme="1"/>
        <rFont val="Arial"/>
        <family val="2"/>
      </rPr>
      <t>hT ) =</t>
    </r>
  </si>
  <si>
    <t>CAUDAL EN EL LATERAL (ql) =</t>
  </si>
  <si>
    <t>PRESION EN EL LATERAL (hl) =</t>
  </si>
  <si>
    <t>LONGITUD DE LA TUBERIA TERCIARIA (L) =</t>
  </si>
  <si>
    <t>SEPARACION DE LATERALES (Sl) =</t>
  </si>
  <si>
    <t>PENDIENTE DEL TERRENO EN EL SENTIDO DE TUBERIA (S) =</t>
  </si>
  <si>
    <t>PERDIDA POR FRICCION DEBIDO A LA CONEXIÓN DEL LATERAL (fe) =</t>
  </si>
  <si>
    <t xml:space="preserve">      SE CONSIDERA UNICAMENTE LOS DIAMETROS EXISTENTES PARA TUBERIA DE BAJA DENSIDAD CLASE 4)</t>
  </si>
  <si>
    <t>12.8 mm</t>
  </si>
  <si>
    <t>16.6 mm</t>
  </si>
  <si>
    <t>21.0 mm</t>
  </si>
  <si>
    <t>28.0 mm</t>
  </si>
  <si>
    <t>35.2 mm</t>
  </si>
  <si>
    <t>44.0 mm</t>
  </si>
  <si>
    <t>55.4 mm</t>
  </si>
  <si>
    <t>66.0 mm</t>
  </si>
  <si>
    <t>79.2 mm</t>
  </si>
  <si>
    <t>96.8 mm</t>
  </si>
  <si>
    <r>
      <t>CLASE 4 SIGNIFICA QUE SOPORTA PRESIONES HASTA DE 4 kg/cm</t>
    </r>
    <r>
      <rPr>
        <vertAlign val="superscript"/>
        <sz val="12"/>
        <color indexed="8"/>
        <rFont val="Arial"/>
        <family val="2"/>
      </rPr>
      <t>2</t>
    </r>
    <r>
      <rPr>
        <sz val="12"/>
        <color theme="1"/>
        <rFont val="Arial"/>
        <family val="2"/>
      </rPr>
      <t xml:space="preserve"> = 40 m</t>
    </r>
  </si>
  <si>
    <r>
      <t>CLASE 2.5 SIGNIFICA QUE SOPORTA PRESIONES HASTA DE 2.5 kg/cm</t>
    </r>
    <r>
      <rPr>
        <vertAlign val="superscript"/>
        <sz val="12"/>
        <color indexed="8"/>
        <rFont val="Arial"/>
        <family val="2"/>
      </rPr>
      <t>2</t>
    </r>
    <r>
      <rPr>
        <sz val="12"/>
        <color theme="1"/>
        <rFont val="Arial"/>
        <family val="2"/>
      </rPr>
      <t xml:space="preserve"> = 25 m</t>
    </r>
  </si>
  <si>
    <r>
      <t xml:space="preserve">LIMITE INFERIOR DE LA CONDICION PARA ACEPTAR EL DIAMETRO (75% </t>
    </r>
    <r>
      <rPr>
        <sz val="12"/>
        <color indexed="8"/>
        <rFont val="Symbol"/>
        <family val="1"/>
      </rPr>
      <t>D</t>
    </r>
    <r>
      <rPr>
        <sz val="12"/>
        <color indexed="8"/>
        <rFont val="Arial"/>
        <family val="2"/>
      </rPr>
      <t>hl) =</t>
    </r>
  </si>
  <si>
    <r>
      <t xml:space="preserve">LIMITE SUPERIOR DE LA CONDICION PARA ACEPTAR EL DIAMETRO (125% </t>
    </r>
    <r>
      <rPr>
        <sz val="12"/>
        <color indexed="8"/>
        <rFont val="Symbol"/>
        <family val="1"/>
      </rPr>
      <t>D</t>
    </r>
    <r>
      <rPr>
        <sz val="12"/>
        <color indexed="8"/>
        <rFont val="Arial"/>
        <family val="2"/>
      </rPr>
      <t>hl) =</t>
    </r>
  </si>
  <si>
    <t>TIEMPO DE RIEGO (Tr) =</t>
  </si>
  <si>
    <t>DOSIS DE RIEGO REQUERIDA (mm/dia) =</t>
  </si>
  <si>
    <t>TIEMPO DISPONIBLE (Td) =</t>
  </si>
  <si>
    <t>LO ESTABLECE EL PRODUCTOR O LO PROPONE EL DISEÑADOR</t>
  </si>
  <si>
    <t>NUMERO DE UNIDADES OPERACIONALES (N) =</t>
  </si>
  <si>
    <t>UNIDADES</t>
  </si>
  <si>
    <t>hr/dia</t>
  </si>
  <si>
    <t>SUBUNIDADES</t>
  </si>
  <si>
    <t>NUMERO DE SUBUNIDADES DE RIEGO (Ns) =</t>
  </si>
  <si>
    <t>SUBUNIDADES/UNIDAD OPERACIONAL</t>
  </si>
  <si>
    <t>RESIDUO=</t>
  </si>
  <si>
    <t>LIMITES DE OPERACIÓN DEL PROYECTO</t>
  </si>
  <si>
    <t>SE OBTIENE DE LA DISTRIBUCION HECHA EN PLANO</t>
  </si>
  <si>
    <t>CAMBIAR Td HASTA QUE RESIDUO = 0</t>
  </si>
  <si>
    <t>NUMERO DE SUBUNIDADES POR UNIDAD OPERACIONAL(n) =</t>
  </si>
  <si>
    <t>CAUDAL DISPONIBLE EN LA FUENTE DE ABASTECIMIENTO (Qd) =</t>
  </si>
  <si>
    <t>DEPENDE DEL CAUDAL DEL CANAL O DEL POZO, NORIA, ETC</t>
  </si>
  <si>
    <t>CAUDAL DEL SISTEMA (Qs) =</t>
  </si>
  <si>
    <t>SUPERIFICIE (Sup) =</t>
  </si>
  <si>
    <t>ha</t>
  </si>
  <si>
    <t>m3/h</t>
  </si>
  <si>
    <t>SI Qd &lt;= Qs SE ACEPTAN LOS LIMITES DE OPERACIÓN EN CASO CONTRARIO SE DEBEN MODIFICAR LOS DATOS NECESARIOS</t>
  </si>
  <si>
    <t>e = número de goteros por metro lineal de tubería o cinta de riego</t>
  </si>
  <si>
    <t>q = caudal del gotero en litros por hora</t>
  </si>
  <si>
    <t>Dp = Dosis de riego critica o maxima demanda diaria (mm/dia)</t>
  </si>
  <si>
    <t>Tr = tiempo de riego en horas</t>
  </si>
  <si>
    <t>N = número de unidades operacionales del sistema</t>
  </si>
  <si>
    <t>Td = Tiempo disponible para riego al dia (horas)</t>
  </si>
  <si>
    <t>Ns = Número de subunidades de riego en que se dividió el terreno al trazar la tubería lateral, terciaria, secundaria y principal</t>
  </si>
  <si>
    <t>n = Número de subunidades que se regarán al mismo tiempo y constituyen una unidad operacional</t>
  </si>
  <si>
    <t>Qs = caudal requerido por el sistema para regar con las condiciones planteadas en los límites del proyecto</t>
  </si>
  <si>
    <t>A = superficie del terreno en hectáreas</t>
  </si>
  <si>
    <t>Se = sepración de goteros en metros</t>
  </si>
  <si>
    <t>Sl = separación de laterales en metros</t>
  </si>
  <si>
    <t>UNIDADES OPERACIONALES (N) =</t>
  </si>
  <si>
    <t>Unidades</t>
  </si>
  <si>
    <t>SUBUNIDADES DE RIEGO POR UNIDAD OPERACIONAL(Ns) =</t>
  </si>
  <si>
    <t>SE DEBE DETERMINAR LA FORMA DE OPERAR EL SISTEMA. CONOCER CUANTAS SUBUNIDADES PUEDEN TRABAJAR AL MISMO TIEMPO</t>
  </si>
  <si>
    <t>PUES EL DIAMETRO DE LA TUBERIA SECUNDARIA Y PRINCIPAL DEPENDE LA CANTIDAD DE AGUA QUE DEBEN LLEVAR.</t>
  </si>
  <si>
    <t>TRAMOS DE TUBERIA SECUNDARIA =</t>
  </si>
  <si>
    <t>LONGITUD DE CADA TRAMO =</t>
  </si>
  <si>
    <t>SUBUNIDADES DE RIEGO POR CADA TRAMO =</t>
  </si>
  <si>
    <t>CALCULAR EL NUMERO DE LATERALES POR TRAMO (n) =</t>
  </si>
  <si>
    <t>CALCULAR EL CAUDAL EN LA TUBERIA TERCIARIA (qT) =</t>
  </si>
  <si>
    <t>CALCULAR LA CARGA A LA ENTRADA DE LA TUBERIA TERCIARIA (hT) =</t>
  </si>
  <si>
    <t>CALCULAR LA CARGA AL FINAL DE LA TUBERIA TERCIARIA (hn) =</t>
  </si>
  <si>
    <r>
      <t>SE COMPARA LA DIFERENCIA DE CARGA CALCULADA (</t>
    </r>
    <r>
      <rPr>
        <sz val="12"/>
        <color indexed="8"/>
        <rFont val="Symbol"/>
        <family val="1"/>
      </rPr>
      <t>D</t>
    </r>
    <r>
      <rPr>
        <sz val="12"/>
        <color indexed="8"/>
        <rFont val="Arial"/>
        <family val="2"/>
      </rPr>
      <t xml:space="preserve"> h) CON LA PERDIDA DE CARGA PERMISIBLE EN LA TERCIARIA (</t>
    </r>
    <r>
      <rPr>
        <sz val="12"/>
        <color indexed="8"/>
        <rFont val="Symbol"/>
        <family val="1"/>
      </rPr>
      <t>D</t>
    </r>
    <r>
      <rPr>
        <sz val="12"/>
        <color indexed="8"/>
        <rFont val="Arial"/>
        <family val="2"/>
      </rPr>
      <t>hT)</t>
    </r>
  </si>
  <si>
    <t>CAUDAL EN UNA SUBUNIDAD (qT) =</t>
  </si>
  <si>
    <t>CAUDAL QUE DEBERA CONDUCIR LA TUBERIA SECUNDARIA  (qs)=</t>
  </si>
  <si>
    <t>CONVERTIR EL CAUDAL A METROS CUBICOS POR SEG (m3/s) =</t>
  </si>
  <si>
    <t>m3/s</t>
  </si>
  <si>
    <t>Subunidades</t>
  </si>
  <si>
    <t>CONVERTIR EL CAUDAL A LITROS POR SEGUNDO (lps) =</t>
  </si>
  <si>
    <t>METODO DE LA VELOCIDAD PERMISIBLE</t>
  </si>
  <si>
    <t>DIAMETRO (metros) =</t>
  </si>
  <si>
    <t>DIAMETRO (pulgadas) =</t>
  </si>
  <si>
    <t>pulg</t>
  </si>
  <si>
    <t>METODO DE LA CARGA PERMISIBLE</t>
  </si>
  <si>
    <t>SE DEBE CUMPLIR LA CONDICION DE QUE SE PIERDA UN METRO O MENOS DE CARGA (PRESION) EN 43.35 m DE LONGITUD DE TUBERIA</t>
  </si>
  <si>
    <t>hf ≤ 1 m / 43.35 m de tubería</t>
  </si>
  <si>
    <t>PERDIDA POR FRICCION (hf) =</t>
  </si>
  <si>
    <t>CONDICION =</t>
  </si>
  <si>
    <t>45.2 mm</t>
  </si>
  <si>
    <t>57.0 mm</t>
  </si>
  <si>
    <t>67.8 mm</t>
  </si>
  <si>
    <t>81.4 mm</t>
  </si>
  <si>
    <t>99.4 mm</t>
  </si>
  <si>
    <t>113.0 mm</t>
  </si>
  <si>
    <t>126.6 mm</t>
  </si>
  <si>
    <t>144.6 mm</t>
  </si>
  <si>
    <t>162.8 mm</t>
  </si>
  <si>
    <t>180.8 mm</t>
  </si>
  <si>
    <t>36.0 mm</t>
  </si>
  <si>
    <t xml:space="preserve">SELECCIONAR DIAMETRO (Di) </t>
  </si>
  <si>
    <t>PARA TUBERIA DE PE (DIAMETROS PARA TUBERIA PEAD-6)</t>
  </si>
  <si>
    <r>
      <t>POLIETILENO DE ALTA DENSIDAD PARA 6 Kg/cm</t>
    </r>
    <r>
      <rPr>
        <vertAlign val="superscript"/>
        <sz val="12"/>
        <color indexed="8"/>
        <rFont val="Arial"/>
        <family val="2"/>
      </rPr>
      <t>2</t>
    </r>
    <r>
      <rPr>
        <sz val="12"/>
        <color theme="1"/>
        <rFont val="Arial"/>
        <family val="2"/>
      </rPr>
      <t xml:space="preserve"> DE PRESION (60 m)</t>
    </r>
  </si>
  <si>
    <t>Di (mm)</t>
  </si>
  <si>
    <t>104.6 mm</t>
  </si>
  <si>
    <t>118.8 mm</t>
  </si>
  <si>
    <t>133 mm</t>
  </si>
  <si>
    <t>152 mm</t>
  </si>
  <si>
    <t>171.2 mm</t>
  </si>
  <si>
    <t>190.2 mm</t>
  </si>
  <si>
    <t>214 mm</t>
  </si>
  <si>
    <t>237.6 mm</t>
  </si>
  <si>
    <t>266.2 mm</t>
  </si>
  <si>
    <t>299.6 mm</t>
  </si>
  <si>
    <t>337.6 mm</t>
  </si>
  <si>
    <t>380.4 mm</t>
  </si>
  <si>
    <t>428 mm</t>
  </si>
  <si>
    <t>475.4 mm</t>
  </si>
  <si>
    <t>532.6 mm</t>
  </si>
  <si>
    <t>599.2 mm</t>
  </si>
  <si>
    <t>675.2 mm</t>
  </si>
  <si>
    <t>760.8 mm</t>
  </si>
  <si>
    <t>856 mm</t>
  </si>
  <si>
    <t>951 mm</t>
  </si>
  <si>
    <t>PERDIDAS POR FRICCION (hf) =</t>
  </si>
  <si>
    <t>PARA TUBERIA DE PVC (DIAMETROS PARA TUBERIA PVC CLASE 6)</t>
  </si>
  <si>
    <r>
      <t>PVC PARA 6 kg/cm</t>
    </r>
    <r>
      <rPr>
        <vertAlign val="superscript"/>
        <sz val="12"/>
        <color indexed="8"/>
        <rFont val="Arial"/>
        <family val="2"/>
      </rPr>
      <t>2</t>
    </r>
    <r>
      <rPr>
        <sz val="12"/>
        <color theme="1"/>
        <rFont val="Arial"/>
        <family val="2"/>
      </rPr>
      <t xml:space="preserve"> DE PRESION = 60 m</t>
    </r>
  </si>
  <si>
    <t>m/43.35 m</t>
  </si>
  <si>
    <t>47 mm</t>
  </si>
  <si>
    <t>59.2 mm</t>
  </si>
  <si>
    <t>70.6 mm</t>
  </si>
  <si>
    <t>84.6 mm</t>
  </si>
  <si>
    <t>PERDIDA DE CARGA UNITARIA (J) =</t>
  </si>
  <si>
    <t>PERDIDA DE CARGA UNITARIO (J) =</t>
  </si>
  <si>
    <t>CALCULO DEL DIAMETRO DE LA TUBERIA SECUNDARIA</t>
  </si>
  <si>
    <t>De (mm)</t>
  </si>
  <si>
    <t>e (mm)</t>
  </si>
  <si>
    <t>Diametro exterior =</t>
  </si>
  <si>
    <t>Espesor =</t>
  </si>
  <si>
    <t>Diametro interior=</t>
  </si>
  <si>
    <t>mm</t>
  </si>
  <si>
    <t>TUBERIA SELECCIONADA (PE AD, SERIE METRICA)</t>
  </si>
  <si>
    <t>TUBERIA SELECCIONADA (PVC CLASE 6 SERIE METRICA)</t>
  </si>
  <si>
    <t>CALCULO DEL DIAMETRO DE LA TUBERIA PRINCIPAL</t>
  </si>
  <si>
    <t>SE DEBE CONOCER LA FORMA DE OPERAR EL SISTEMA, DETERMINANDO LAS SUBUNIDADES QUE SE REGARAN PRIMERO Y CUALES DESPUES</t>
  </si>
  <si>
    <t>PARA PODER DETERMINAR LOS DIFERENTES TRAMOS DE TUBERIA DE ACUERDO AL CAUDAL QUE DEBERAN TRANSPORTAR.</t>
  </si>
  <si>
    <t>TRAMOS DE TUBERIA PRINCIPAL =</t>
  </si>
  <si>
    <t>TRAMO</t>
  </si>
  <si>
    <t>L (m)</t>
  </si>
  <si>
    <t>PEAD</t>
  </si>
  <si>
    <t>PVC</t>
  </si>
  <si>
    <t>que se riegan</t>
  </si>
  <si>
    <t>Q</t>
  </si>
  <si>
    <t>(lps)</t>
  </si>
  <si>
    <t>Ninguno</t>
  </si>
  <si>
    <t>TUBERIA DE PVC</t>
  </si>
  <si>
    <t>TUBERIA DE POLIETILENO</t>
  </si>
  <si>
    <t>J (Pérdida de carga m/100 m)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</si>
</sst>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4">
    <font>
      <sz val="12"/>
      <color theme="1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Symbol"/>
      <family val="1"/>
    </font>
    <font>
      <vertAlign val="superscript"/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Symbol"/>
      <family val="1"/>
    </font>
    <font>
      <b/>
      <sz val="12"/>
      <color indexed="56"/>
      <name val="Arial"/>
      <family val="2"/>
    </font>
    <font>
      <b/>
      <i/>
      <sz val="12"/>
      <color indexed="8"/>
      <name val="Arial"/>
      <family val="2"/>
    </font>
    <font>
      <sz val="8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7" fillId="33" borderId="10" xfId="0" applyFont="1" applyFill="1" applyBorder="1" applyAlignment="1">
      <alignment/>
    </xf>
    <xf numFmtId="0" fontId="7" fillId="34" borderId="10" xfId="0" applyFont="1" applyFill="1" applyBorder="1" applyAlignment="1" applyProtection="1">
      <alignment/>
      <protection locked="0"/>
    </xf>
    <xf numFmtId="0" fontId="7" fillId="35" borderId="1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 horizontal="right"/>
    </xf>
    <xf numFmtId="2" fontId="7" fillId="35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9" fillId="35" borderId="10" xfId="0" applyFont="1" applyFill="1" applyBorder="1" applyAlignment="1">
      <alignment/>
    </xf>
    <xf numFmtId="2" fontId="0" fillId="0" borderId="0" xfId="0" applyNumberFormat="1" applyAlignment="1">
      <alignment/>
    </xf>
    <xf numFmtId="0" fontId="6" fillId="36" borderId="0" xfId="0" applyFont="1" applyFill="1" applyAlignment="1">
      <alignment/>
    </xf>
    <xf numFmtId="0" fontId="6" fillId="36" borderId="10" xfId="0" applyFont="1" applyFill="1" applyBorder="1" applyAlignment="1">
      <alignment/>
    </xf>
    <xf numFmtId="0" fontId="6" fillId="36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36" borderId="11" xfId="0" applyFont="1" applyFill="1" applyBorder="1" applyAlignment="1">
      <alignment/>
    </xf>
    <xf numFmtId="0" fontId="6" fillId="36" borderId="12" xfId="0" applyFont="1" applyFill="1" applyBorder="1" applyAlignment="1">
      <alignment/>
    </xf>
    <xf numFmtId="0" fontId="6" fillId="36" borderId="13" xfId="0" applyFont="1" applyFill="1" applyBorder="1" applyAlignment="1">
      <alignment/>
    </xf>
    <xf numFmtId="0" fontId="6" fillId="36" borderId="14" xfId="0" applyFont="1" applyFill="1" applyBorder="1" applyAlignment="1">
      <alignment/>
    </xf>
    <xf numFmtId="0" fontId="6" fillId="36" borderId="15" xfId="0" applyFont="1" applyFill="1" applyBorder="1" applyAlignment="1">
      <alignment/>
    </xf>
    <xf numFmtId="0" fontId="6" fillId="36" borderId="16" xfId="0" applyFont="1" applyFill="1" applyBorder="1" applyAlignment="1">
      <alignment/>
    </xf>
    <xf numFmtId="0" fontId="7" fillId="35" borderId="17" xfId="0" applyFont="1" applyFill="1" applyBorder="1" applyAlignment="1">
      <alignment/>
    </xf>
    <xf numFmtId="0" fontId="7" fillId="37" borderId="0" xfId="0" applyFont="1" applyFill="1" applyBorder="1" applyAlignment="1">
      <alignment/>
    </xf>
    <xf numFmtId="0" fontId="0" fillId="37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21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22" xfId="0" applyFill="1" applyBorder="1" applyAlignment="1">
      <alignment/>
    </xf>
    <xf numFmtId="0" fontId="0" fillId="37" borderId="23" xfId="0" applyFill="1" applyBorder="1" applyAlignment="1">
      <alignment/>
    </xf>
    <xf numFmtId="0" fontId="0" fillId="37" borderId="24" xfId="0" applyFill="1" applyBorder="1" applyAlignment="1">
      <alignment/>
    </xf>
    <xf numFmtId="0" fontId="0" fillId="37" borderId="25" xfId="0" applyFill="1" applyBorder="1" applyAlignment="1">
      <alignment/>
    </xf>
    <xf numFmtId="0" fontId="5" fillId="36" borderId="12" xfId="0" applyFont="1" applyFill="1" applyBorder="1" applyAlignment="1">
      <alignment/>
    </xf>
    <xf numFmtId="0" fontId="5" fillId="36" borderId="13" xfId="0" applyFont="1" applyFill="1" applyBorder="1" applyAlignment="1">
      <alignment/>
    </xf>
    <xf numFmtId="0" fontId="5" fillId="36" borderId="15" xfId="0" applyFont="1" applyFill="1" applyBorder="1" applyAlignment="1">
      <alignment/>
    </xf>
    <xf numFmtId="0" fontId="5" fillId="36" borderId="16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7" fillId="34" borderId="17" xfId="0" applyFont="1" applyFill="1" applyBorder="1" applyAlignment="1" applyProtection="1">
      <alignment/>
      <protection locked="0"/>
    </xf>
    <xf numFmtId="0" fontId="7" fillId="38" borderId="0" xfId="0" applyFont="1" applyFill="1" applyBorder="1" applyAlignment="1">
      <alignment/>
    </xf>
    <xf numFmtId="0" fontId="7" fillId="38" borderId="22" xfId="0" applyFont="1" applyFill="1" applyBorder="1" applyAlignment="1">
      <alignment/>
    </xf>
    <xf numFmtId="0" fontId="10" fillId="38" borderId="21" xfId="0" applyFont="1" applyFill="1" applyBorder="1" applyAlignment="1">
      <alignment/>
    </xf>
    <xf numFmtId="0" fontId="10" fillId="38" borderId="0" xfId="0" applyFont="1" applyFill="1" applyBorder="1" applyAlignment="1">
      <alignment/>
    </xf>
    <xf numFmtId="0" fontId="10" fillId="38" borderId="22" xfId="0" applyFont="1" applyFill="1" applyBorder="1" applyAlignment="1">
      <alignment/>
    </xf>
    <xf numFmtId="0" fontId="6" fillId="37" borderId="0" xfId="0" applyFont="1" applyFill="1" applyBorder="1" applyAlignment="1">
      <alignment/>
    </xf>
    <xf numFmtId="0" fontId="0" fillId="37" borderId="0" xfId="0" applyFill="1" applyBorder="1" applyAlignment="1">
      <alignment horizontal="right"/>
    </xf>
    <xf numFmtId="0" fontId="0" fillId="37" borderId="21" xfId="0" applyFill="1" applyBorder="1" applyAlignment="1">
      <alignment/>
    </xf>
    <xf numFmtId="0" fontId="0" fillId="37" borderId="22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0" fillId="39" borderId="10" xfId="0" applyFill="1" applyBorder="1" applyAlignment="1">
      <alignment/>
    </xf>
    <xf numFmtId="0" fontId="0" fillId="37" borderId="26" xfId="0" applyFill="1" applyBorder="1" applyAlignment="1">
      <alignment horizontal="center"/>
    </xf>
    <xf numFmtId="0" fontId="0" fillId="37" borderId="27" xfId="0" applyFill="1" applyBorder="1" applyAlignment="1">
      <alignment horizontal="center"/>
    </xf>
    <xf numFmtId="0" fontId="0" fillId="0" borderId="0" xfId="0" applyAlignment="1">
      <alignment horizontal="right"/>
    </xf>
    <xf numFmtId="0" fontId="7" fillId="40" borderId="28" xfId="0" applyFont="1" applyFill="1" applyBorder="1" applyAlignment="1">
      <alignment horizontal="center"/>
    </xf>
    <xf numFmtId="0" fontId="7" fillId="40" borderId="29" xfId="0" applyFont="1" applyFill="1" applyBorder="1" applyAlignment="1">
      <alignment horizontal="center"/>
    </xf>
    <xf numFmtId="0" fontId="7" fillId="40" borderId="30" xfId="0" applyFont="1" applyFill="1" applyBorder="1" applyAlignment="1">
      <alignment horizontal="center"/>
    </xf>
    <xf numFmtId="0" fontId="6" fillId="36" borderId="21" xfId="0" applyFont="1" applyFill="1" applyBorder="1" applyAlignment="1">
      <alignment horizontal="left"/>
    </xf>
    <xf numFmtId="0" fontId="6" fillId="36" borderId="0" xfId="0" applyFont="1" applyFill="1" applyBorder="1" applyAlignment="1">
      <alignment horizontal="left"/>
    </xf>
    <xf numFmtId="0" fontId="0" fillId="0" borderId="22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22" xfId="0" applyBorder="1" applyAlignment="1">
      <alignment horizontal="left"/>
    </xf>
    <xf numFmtId="0" fontId="7" fillId="40" borderId="10" xfId="0" applyFont="1" applyFill="1" applyBorder="1" applyAlignment="1">
      <alignment horizontal="center"/>
    </xf>
    <xf numFmtId="0" fontId="30" fillId="40" borderId="11" xfId="0" applyFont="1" applyFill="1" applyBorder="1" applyAlignment="1">
      <alignment horizontal="center"/>
    </xf>
    <xf numFmtId="0" fontId="30" fillId="40" borderId="12" xfId="0" applyFont="1" applyFill="1" applyBorder="1" applyAlignment="1">
      <alignment horizontal="center"/>
    </xf>
    <xf numFmtId="0" fontId="30" fillId="40" borderId="13" xfId="0" applyFont="1" applyFill="1" applyBorder="1" applyAlignment="1">
      <alignment horizontal="center"/>
    </xf>
    <xf numFmtId="0" fontId="0" fillId="37" borderId="21" xfId="0" applyFill="1" applyBorder="1" applyAlignment="1">
      <alignment horizontal="left"/>
    </xf>
    <xf numFmtId="0" fontId="0" fillId="37" borderId="0" xfId="0" applyFill="1" applyBorder="1" applyAlignment="1">
      <alignment horizontal="left"/>
    </xf>
    <xf numFmtId="0" fontId="0" fillId="37" borderId="31" xfId="0" applyFill="1" applyBorder="1" applyAlignment="1">
      <alignment horizontal="left"/>
    </xf>
    <xf numFmtId="0" fontId="0" fillId="37" borderId="32" xfId="0" applyFill="1" applyBorder="1" applyAlignment="1">
      <alignment horizontal="center"/>
    </xf>
    <xf numFmtId="0" fontId="0" fillId="37" borderId="33" xfId="0" applyFill="1" applyBorder="1" applyAlignment="1">
      <alignment horizontal="center"/>
    </xf>
    <xf numFmtId="0" fontId="0" fillId="37" borderId="22" xfId="0" applyFill="1" applyBorder="1" applyAlignment="1">
      <alignment horizontal="left"/>
    </xf>
    <xf numFmtId="0" fontId="0" fillId="39" borderId="0" xfId="0" applyFill="1" applyBorder="1" applyAlignment="1">
      <alignment/>
    </xf>
    <xf numFmtId="0" fontId="0" fillId="39" borderId="0" xfId="0" applyFill="1" applyBorder="1" applyAlignment="1">
      <alignment horizontal="left"/>
    </xf>
    <xf numFmtId="0" fontId="7" fillId="39" borderId="0" xfId="0" applyFont="1" applyFill="1" applyBorder="1" applyAlignment="1" applyProtection="1">
      <alignment/>
      <protection locked="0"/>
    </xf>
    <xf numFmtId="0" fontId="7" fillId="39" borderId="0" xfId="0" applyFont="1" applyFill="1" applyBorder="1" applyAlignment="1">
      <alignment/>
    </xf>
    <xf numFmtId="0" fontId="10" fillId="39" borderId="0" xfId="0" applyFont="1" applyFill="1" applyBorder="1" applyAlignment="1">
      <alignment/>
    </xf>
    <xf numFmtId="0" fontId="6" fillId="39" borderId="0" xfId="0" applyFont="1" applyFill="1" applyBorder="1" applyAlignment="1">
      <alignment horizontal="left"/>
    </xf>
    <xf numFmtId="0" fontId="6" fillId="39" borderId="0" xfId="0" applyFont="1" applyFill="1" applyBorder="1" applyAlignment="1">
      <alignment/>
    </xf>
    <xf numFmtId="0" fontId="0" fillId="39" borderId="0" xfId="0" applyFill="1" applyBorder="1" applyAlignment="1">
      <alignment horizontal="right"/>
    </xf>
    <xf numFmtId="0" fontId="5" fillId="39" borderId="0" xfId="0" applyFont="1" applyFill="1" applyBorder="1" applyAlignment="1">
      <alignment/>
    </xf>
    <xf numFmtId="0" fontId="0" fillId="0" borderId="11" xfId="0" applyBorder="1" applyAlignment="1">
      <alignment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3" fillId="37" borderId="32" xfId="0" applyFont="1" applyFill="1" applyBorder="1" applyAlignment="1">
      <alignment horizontal="center"/>
    </xf>
    <xf numFmtId="0" fontId="43" fillId="37" borderId="33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3.emf" /><Relationship Id="rId12" Type="http://schemas.openxmlformats.org/officeDocument/2006/relationships/image" Target="../media/image16.emf" /><Relationship Id="rId13" Type="http://schemas.openxmlformats.org/officeDocument/2006/relationships/image" Target="../media/image11.emf" /><Relationship Id="rId14" Type="http://schemas.openxmlformats.org/officeDocument/2006/relationships/image" Target="../media/image14.emf" /><Relationship Id="rId15" Type="http://schemas.openxmlformats.org/officeDocument/2006/relationships/image" Target="../media/image1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9.emf" /><Relationship Id="rId5" Type="http://schemas.openxmlformats.org/officeDocument/2006/relationships/image" Target="../media/image10.emf" /><Relationship Id="rId6" Type="http://schemas.openxmlformats.org/officeDocument/2006/relationships/image" Target="../media/image13.emf" /><Relationship Id="rId7" Type="http://schemas.openxmlformats.org/officeDocument/2006/relationships/image" Target="../media/image16.emf" /><Relationship Id="rId8" Type="http://schemas.openxmlformats.org/officeDocument/2006/relationships/image" Target="../media/image11.emf" /><Relationship Id="rId9" Type="http://schemas.openxmlformats.org/officeDocument/2006/relationships/image" Target="../media/image14.emf" /><Relationship Id="rId10" Type="http://schemas.openxmlformats.org/officeDocument/2006/relationships/image" Target="../media/image1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9.emf" /><Relationship Id="rId3" Type="http://schemas.openxmlformats.org/officeDocument/2006/relationships/image" Target="../media/image18.emf" /><Relationship Id="rId4" Type="http://schemas.openxmlformats.org/officeDocument/2006/relationships/image" Target="../media/image15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vmlDrawing" Target="../drawings/vmlDrawing1.vml" /><Relationship Id="rId17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oleObject" Target="../embeddings/oleObject_2_7.bin" /><Relationship Id="rId9" Type="http://schemas.openxmlformats.org/officeDocument/2006/relationships/oleObject" Target="../embeddings/oleObject_2_8.bin" /><Relationship Id="rId10" Type="http://schemas.openxmlformats.org/officeDocument/2006/relationships/oleObject" Target="../embeddings/oleObject_2_9.bin" /><Relationship Id="rId11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vmlDrawing" Target="../drawings/vmlDrawing3.vml" /><Relationship Id="rId6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6"/>
  <sheetViews>
    <sheetView zoomScalePageLayoutView="0" workbookViewId="0" topLeftCell="A1">
      <selection activeCell="G19" sqref="G19"/>
    </sheetView>
  </sheetViews>
  <sheetFormatPr defaultColWidth="11.5546875" defaultRowHeight="15"/>
  <sheetData>
    <row r="2" spans="2:8" ht="15">
      <c r="B2" t="s">
        <v>106</v>
      </c>
      <c r="G2">
        <v>8</v>
      </c>
      <c r="H2" t="s">
        <v>107</v>
      </c>
    </row>
    <row r="4" spans="2:7" ht="15">
      <c r="B4" t="s">
        <v>89</v>
      </c>
      <c r="G4">
        <v>5</v>
      </c>
    </row>
    <row r="6" spans="2:8" ht="15">
      <c r="B6" t="s">
        <v>103</v>
      </c>
      <c r="G6">
        <v>20</v>
      </c>
      <c r="H6" t="s">
        <v>50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R115"/>
  <sheetViews>
    <sheetView zoomScalePageLayoutView="0" workbookViewId="0" topLeftCell="B1">
      <selection activeCell="I115" sqref="I115:I116"/>
    </sheetView>
  </sheetViews>
  <sheetFormatPr defaultColWidth="11.5546875" defaultRowHeight="15"/>
  <cols>
    <col min="2" max="2" width="10.10546875" style="0" customWidth="1"/>
    <col min="3" max="3" width="13.4453125" style="0" customWidth="1"/>
    <col min="5" max="5" width="13.5546875" style="0" customWidth="1"/>
  </cols>
  <sheetData>
    <row r="2" ht="15.75" thickBot="1"/>
    <row r="3" spans="2:9" ht="16.5" thickBot="1">
      <c r="B3" s="54" t="s">
        <v>0</v>
      </c>
      <c r="C3" s="55"/>
      <c r="D3" s="55"/>
      <c r="E3" s="55"/>
      <c r="F3" s="55"/>
      <c r="G3" s="55"/>
      <c r="H3" s="55"/>
      <c r="I3" s="56"/>
    </row>
    <row r="6" spans="2:7" ht="15.75">
      <c r="B6" s="53" t="s">
        <v>3</v>
      </c>
      <c r="C6" s="53"/>
      <c r="D6" s="53"/>
      <c r="E6" s="53"/>
      <c r="F6" s="3">
        <v>4</v>
      </c>
      <c r="G6" s="5" t="s">
        <v>19</v>
      </c>
    </row>
    <row r="7" spans="2:7" ht="15.75">
      <c r="B7" s="53" t="s">
        <v>7</v>
      </c>
      <c r="C7" s="53"/>
      <c r="D7" s="53"/>
      <c r="E7" s="53"/>
      <c r="F7" s="3">
        <v>9.97</v>
      </c>
      <c r="G7" s="5" t="s">
        <v>8</v>
      </c>
    </row>
    <row r="8" spans="2:7" ht="15.75">
      <c r="B8" s="53" t="s">
        <v>4</v>
      </c>
      <c r="C8" s="53"/>
      <c r="D8" s="53"/>
      <c r="E8" s="53"/>
      <c r="F8" s="3">
        <v>1.267</v>
      </c>
      <c r="G8" s="5"/>
    </row>
    <row r="9" spans="2:7" ht="15.75">
      <c r="B9" s="53" t="s">
        <v>5</v>
      </c>
      <c r="C9" s="53"/>
      <c r="D9" s="53"/>
      <c r="E9" s="53"/>
      <c r="F9" s="3">
        <v>0.495</v>
      </c>
      <c r="G9" s="5"/>
    </row>
    <row r="10" spans="2:7" ht="15.75">
      <c r="B10" s="53" t="s">
        <v>1</v>
      </c>
      <c r="C10" s="53"/>
      <c r="D10" s="53"/>
      <c r="E10" s="53"/>
      <c r="F10" s="3">
        <v>94</v>
      </c>
      <c r="G10" s="5" t="s">
        <v>15</v>
      </c>
    </row>
    <row r="11" spans="2:7" ht="15.75">
      <c r="B11" s="53" t="s">
        <v>2</v>
      </c>
      <c r="C11" s="53"/>
      <c r="D11" s="53"/>
      <c r="E11" s="53"/>
      <c r="F11" s="3">
        <v>3</v>
      </c>
      <c r="G11" s="5" t="s">
        <v>15</v>
      </c>
    </row>
    <row r="12" spans="2:7" ht="15.75">
      <c r="B12" s="53" t="s">
        <v>6</v>
      </c>
      <c r="C12" s="53"/>
      <c r="D12" s="53"/>
      <c r="E12" s="53"/>
      <c r="F12" s="3">
        <v>1</v>
      </c>
      <c r="G12" s="5"/>
    </row>
    <row r="14" ht="15.75" thickBot="1"/>
    <row r="15" spans="2:9" ht="16.5" thickBot="1">
      <c r="B15" s="54" t="s">
        <v>9</v>
      </c>
      <c r="C15" s="55"/>
      <c r="D15" s="55"/>
      <c r="E15" s="55"/>
      <c r="F15" s="55"/>
      <c r="G15" s="55"/>
      <c r="H15" s="55"/>
      <c r="I15" s="56"/>
    </row>
    <row r="18" spans="2:5" ht="15.75">
      <c r="B18" t="s">
        <v>11</v>
      </c>
      <c r="D18" s="4">
        <f>ROUND((F10*F6/(100*(1-((1.27*F11)/(100*SQRT(F12)))))),2)</f>
        <v>3.91</v>
      </c>
      <c r="E18" s="5" t="s">
        <v>19</v>
      </c>
    </row>
    <row r="24" spans="2:5" ht="15.75">
      <c r="B24" t="s">
        <v>12</v>
      </c>
      <c r="D24" s="4">
        <f>ROUND((D18/F8)^(1/F9),2)</f>
        <v>9.74</v>
      </c>
      <c r="E24" s="5" t="s">
        <v>8</v>
      </c>
    </row>
    <row r="29" spans="2:4" ht="15.75">
      <c r="B29" t="s">
        <v>10</v>
      </c>
      <c r="C29" s="4">
        <f>2.5*(F7-D24)</f>
        <v>0.5750000000000011</v>
      </c>
      <c r="D29" s="5" t="s">
        <v>8</v>
      </c>
    </row>
    <row r="31" ht="15">
      <c r="B31" t="s">
        <v>13</v>
      </c>
    </row>
    <row r="32" ht="15">
      <c r="B32" t="s">
        <v>14</v>
      </c>
    </row>
    <row r="34" spans="2:8" ht="15.75">
      <c r="B34" s="53" t="s">
        <v>20</v>
      </c>
      <c r="C34" s="53"/>
      <c r="D34" s="53"/>
      <c r="E34" s="53"/>
      <c r="F34" s="59"/>
      <c r="G34" s="3">
        <v>60</v>
      </c>
      <c r="H34" s="6" t="s">
        <v>15</v>
      </c>
    </row>
    <row r="35" spans="2:8" ht="15.75">
      <c r="B35" s="53" t="s">
        <v>21</v>
      </c>
      <c r="C35" s="53"/>
      <c r="D35" s="53"/>
      <c r="E35" s="53"/>
      <c r="F35" s="59"/>
      <c r="G35" s="3">
        <v>40</v>
      </c>
      <c r="H35" s="6" t="s">
        <v>15</v>
      </c>
    </row>
    <row r="37" spans="2:7" ht="15.75">
      <c r="B37" t="s">
        <v>16</v>
      </c>
      <c r="F37" s="8">
        <f>C29*G34/100</f>
        <v>0.34500000000000064</v>
      </c>
      <c r="G37" s="5" t="s">
        <v>8</v>
      </c>
    </row>
    <row r="38" spans="2:7" ht="15.75">
      <c r="B38" t="s">
        <v>66</v>
      </c>
      <c r="F38" s="8">
        <f>+C29*G35/100</f>
        <v>0.23000000000000043</v>
      </c>
      <c r="G38" s="5" t="s">
        <v>8</v>
      </c>
    </row>
    <row r="40" ht="15.75">
      <c r="B40" t="s">
        <v>17</v>
      </c>
    </row>
    <row r="42" spans="5:7" ht="15.75">
      <c r="E42" t="s">
        <v>18</v>
      </c>
      <c r="F42" s="4">
        <f>+F38+F37</f>
        <v>0.5750000000000011</v>
      </c>
      <c r="G42" s="5" t="s">
        <v>8</v>
      </c>
    </row>
    <row r="43" ht="15.75" thickBot="1"/>
    <row r="44" spans="2:9" ht="16.5" thickBot="1">
      <c r="B44" s="54" t="s">
        <v>22</v>
      </c>
      <c r="C44" s="55"/>
      <c r="D44" s="55"/>
      <c r="E44" s="55"/>
      <c r="F44" s="55"/>
      <c r="G44" s="55"/>
      <c r="H44" s="55"/>
      <c r="I44" s="56"/>
    </row>
    <row r="46" ht="15">
      <c r="B46" t="s">
        <v>36</v>
      </c>
    </row>
    <row r="47" ht="15">
      <c r="B47" t="s">
        <v>24</v>
      </c>
    </row>
    <row r="48" ht="15">
      <c r="B48" t="s">
        <v>25</v>
      </c>
    </row>
    <row r="50" ht="15">
      <c r="B50" t="s">
        <v>23</v>
      </c>
    </row>
    <row r="51" ht="15">
      <c r="B51" t="s">
        <v>65</v>
      </c>
    </row>
    <row r="53" spans="2:16" ht="15">
      <c r="B53" t="s">
        <v>26</v>
      </c>
      <c r="P53" t="s">
        <v>27</v>
      </c>
    </row>
    <row r="54" ht="15">
      <c r="P54" t="s">
        <v>28</v>
      </c>
    </row>
    <row r="55" ht="15">
      <c r="P55" s="1">
        <v>2</v>
      </c>
    </row>
    <row r="56" spans="2:8" ht="15.75">
      <c r="B56" s="53" t="s">
        <v>30</v>
      </c>
      <c r="C56" s="53"/>
      <c r="D56" s="53"/>
      <c r="E56" s="53"/>
      <c r="F56" s="53"/>
      <c r="G56" s="2">
        <f>F6</f>
        <v>4</v>
      </c>
      <c r="H56" t="s">
        <v>19</v>
      </c>
    </row>
    <row r="57" spans="2:8" ht="15.75">
      <c r="B57" s="53" t="s">
        <v>29</v>
      </c>
      <c r="C57" s="53"/>
      <c r="D57" s="53"/>
      <c r="E57" s="53"/>
      <c r="F57" s="53"/>
      <c r="G57" s="2">
        <f>F7</f>
        <v>9.97</v>
      </c>
      <c r="H57" t="s">
        <v>8</v>
      </c>
    </row>
    <row r="58" spans="2:8" ht="15.75">
      <c r="B58" s="53" t="s">
        <v>31</v>
      </c>
      <c r="C58" s="53"/>
      <c r="D58" s="53"/>
      <c r="E58" s="53"/>
      <c r="F58" s="53"/>
      <c r="G58" s="3">
        <v>100</v>
      </c>
      <c r="H58" t="s">
        <v>8</v>
      </c>
    </row>
    <row r="59" spans="2:8" ht="15.75">
      <c r="B59" s="53" t="s">
        <v>32</v>
      </c>
      <c r="C59" s="53"/>
      <c r="D59" s="53"/>
      <c r="E59" s="53"/>
      <c r="F59" s="53"/>
      <c r="G59" s="3">
        <v>1</v>
      </c>
      <c r="H59" t="s">
        <v>8</v>
      </c>
    </row>
    <row r="60" spans="2:8" ht="15.75">
      <c r="B60" s="53" t="s">
        <v>33</v>
      </c>
      <c r="C60" s="53"/>
      <c r="D60" s="53"/>
      <c r="E60" s="53"/>
      <c r="F60" s="53"/>
      <c r="G60" s="3">
        <v>0.05</v>
      </c>
      <c r="H60" t="s">
        <v>15</v>
      </c>
    </row>
    <row r="61" spans="2:8" ht="15.75">
      <c r="B61" s="53" t="s">
        <v>34</v>
      </c>
      <c r="C61" s="53"/>
      <c r="D61" s="53"/>
      <c r="E61" s="53"/>
      <c r="F61" s="53"/>
      <c r="G61" s="3">
        <v>0.1</v>
      </c>
      <c r="H61" t="s">
        <v>8</v>
      </c>
    </row>
    <row r="64" ht="15">
      <c r="B64" t="s">
        <v>35</v>
      </c>
    </row>
    <row r="66" ht="15">
      <c r="B66" t="s">
        <v>43</v>
      </c>
    </row>
    <row r="67" ht="15">
      <c r="B67" t="s">
        <v>44</v>
      </c>
    </row>
    <row r="69" ht="18">
      <c r="C69" t="s">
        <v>85</v>
      </c>
    </row>
    <row r="71" spans="3:18" ht="15">
      <c r="C71" t="s">
        <v>37</v>
      </c>
      <c r="P71" t="s">
        <v>38</v>
      </c>
      <c r="Q71">
        <v>1</v>
      </c>
      <c r="R71">
        <v>10</v>
      </c>
    </row>
    <row r="72" spans="16:18" ht="15">
      <c r="P72" t="s">
        <v>39</v>
      </c>
      <c r="Q72">
        <v>2</v>
      </c>
      <c r="R72">
        <v>13.6</v>
      </c>
    </row>
    <row r="73" spans="2:18" ht="15.75">
      <c r="B73" s="7" t="s">
        <v>45</v>
      </c>
      <c r="C73" t="s">
        <v>46</v>
      </c>
      <c r="H73" s="4">
        <f>ROUNDUP(G58/G59,0)</f>
        <v>100</v>
      </c>
      <c r="I73" s="5" t="s">
        <v>47</v>
      </c>
      <c r="P73" t="s">
        <v>40</v>
      </c>
      <c r="Q73">
        <v>3</v>
      </c>
      <c r="R73">
        <v>17.2</v>
      </c>
    </row>
    <row r="74" spans="8:18" ht="15.75">
      <c r="H74" s="5"/>
      <c r="I74" s="5"/>
      <c r="P74" t="s">
        <v>41</v>
      </c>
      <c r="Q74">
        <v>4</v>
      </c>
      <c r="R74">
        <v>21.8</v>
      </c>
    </row>
    <row r="75" spans="2:18" ht="15.75">
      <c r="B75" s="7" t="s">
        <v>45</v>
      </c>
      <c r="C75" t="s">
        <v>48</v>
      </c>
      <c r="H75" s="4">
        <f>H73*G56</f>
        <v>400</v>
      </c>
      <c r="I75" s="5" t="s">
        <v>19</v>
      </c>
      <c r="P75" t="s">
        <v>42</v>
      </c>
      <c r="Q75">
        <v>5</v>
      </c>
      <c r="R75">
        <v>28.4</v>
      </c>
    </row>
    <row r="76" spans="8:16" ht="15.75">
      <c r="H76" s="5"/>
      <c r="I76" s="5"/>
      <c r="P76" s="1">
        <v>4</v>
      </c>
    </row>
    <row r="77" spans="2:9" ht="15.75">
      <c r="B77" s="7" t="s">
        <v>45</v>
      </c>
      <c r="C77" t="s">
        <v>49</v>
      </c>
      <c r="H77" s="4">
        <f>ROUND(H75/3600,3)</f>
        <v>0.111</v>
      </c>
      <c r="I77" s="5" t="s">
        <v>50</v>
      </c>
    </row>
    <row r="78" spans="8:9" ht="15.75">
      <c r="H78" s="5"/>
      <c r="I78" s="5"/>
    </row>
    <row r="79" spans="2:16" ht="15.75">
      <c r="B79" s="7" t="s">
        <v>45</v>
      </c>
      <c r="C79" t="s">
        <v>51</v>
      </c>
      <c r="H79" s="4">
        <f>ROUND(7.89*10^7*(H77^1.75/P79^4.75),2)</f>
        <v>0.74</v>
      </c>
      <c r="I79" s="5" t="s">
        <v>52</v>
      </c>
      <c r="P79" s="1">
        <f>VLOOKUP(P76,Q71:R75,2,FALSE)</f>
        <v>21.8</v>
      </c>
    </row>
    <row r="80" spans="8:9" ht="15.75">
      <c r="H80" s="5"/>
      <c r="I80" s="5"/>
    </row>
    <row r="81" spans="2:9" ht="15.75">
      <c r="B81" s="7" t="s">
        <v>45</v>
      </c>
      <c r="C81" t="s">
        <v>53</v>
      </c>
      <c r="H81" s="4">
        <f>ROUND(H79*((G59+G61)/G59),2)</f>
        <v>0.81</v>
      </c>
      <c r="I81" s="5" t="s">
        <v>8</v>
      </c>
    </row>
    <row r="85" spans="2:8" ht="15.75">
      <c r="B85" s="7" t="s">
        <v>45</v>
      </c>
      <c r="C85" t="s">
        <v>54</v>
      </c>
      <c r="H85" s="4">
        <f>ROUND(0.364+(1/(2*H73))+(0.866/(6*H73^2)),3)</f>
        <v>0.369</v>
      </c>
    </row>
    <row r="88" spans="2:9" ht="15.75">
      <c r="B88" s="7" t="s">
        <v>45</v>
      </c>
      <c r="C88" t="s">
        <v>55</v>
      </c>
      <c r="H88" s="8">
        <f>ROUND(H81*H85*G58/100,2)</f>
        <v>0.3</v>
      </c>
      <c r="I88" s="5" t="s">
        <v>8</v>
      </c>
    </row>
    <row r="91" spans="2:9" ht="15.75">
      <c r="B91" s="7" t="s">
        <v>45</v>
      </c>
      <c r="C91" t="s">
        <v>56</v>
      </c>
      <c r="H91" s="4">
        <f>ROUND(G57+(3/4)*H88+0.5*(G60*G58/100),2)</f>
        <v>10.22</v>
      </c>
      <c r="I91" s="5" t="s">
        <v>8</v>
      </c>
    </row>
    <row r="94" spans="2:9" ht="15.75">
      <c r="B94" s="7" t="s">
        <v>45</v>
      </c>
      <c r="C94" t="s">
        <v>57</v>
      </c>
      <c r="H94" s="4">
        <f>ROUND(H91-(H88+(G60*G58/100)),2)</f>
        <v>9.87</v>
      </c>
      <c r="I94" s="5" t="s">
        <v>8</v>
      </c>
    </row>
    <row r="97" spans="2:9" ht="15.75">
      <c r="B97" s="7" t="s">
        <v>45</v>
      </c>
      <c r="C97" t="s">
        <v>58</v>
      </c>
      <c r="H97" s="4">
        <f>ROUND(H91-H94,2)</f>
        <v>0.35</v>
      </c>
      <c r="I97" s="5" t="s">
        <v>8</v>
      </c>
    </row>
    <row r="99" spans="2:3" ht="15.75">
      <c r="B99" s="7" t="s">
        <v>45</v>
      </c>
      <c r="C99" t="s">
        <v>59</v>
      </c>
    </row>
    <row r="100" ht="15">
      <c r="C100" t="s">
        <v>60</v>
      </c>
    </row>
    <row r="102" ht="15.75">
      <c r="C102" t="s">
        <v>62</v>
      </c>
    </row>
    <row r="103" ht="15.75">
      <c r="C103" t="s">
        <v>63</v>
      </c>
    </row>
    <row r="105" spans="3:12" ht="15.75">
      <c r="C105" t="s">
        <v>61</v>
      </c>
      <c r="E105" s="9" t="b">
        <f>H97&lt;=F37</f>
        <v>0</v>
      </c>
      <c r="F105" s="57" t="str">
        <f>IF(E105=TRUE,IF(H97&gt;=0.75*F37,"SE ACEPTA EL DIAMETRO DE LA TUBERIA LATERAL","DIAMETRO SOBREDIMENSIONADO, CALCULAR PARA UNO MENOR"),IF(H97&gt;1.2*F37,"PERDIDA DE CARGA MUY ALTA EN EL LATERAL. CALCULAR PARA UN DIAMETRO MAYOR","SE ACEPTA EL DIAMETRO DE LA TUBERIA LATERAL"))</f>
        <v>SE ACEPTA EL DIAMETRO DE LA TUBERIA LATERAL</v>
      </c>
      <c r="G105" s="58"/>
      <c r="H105" s="58"/>
      <c r="I105" s="58"/>
      <c r="J105" s="58"/>
      <c r="K105" s="58"/>
      <c r="L105" s="58"/>
    </row>
    <row r="108" spans="3:10" ht="15.75">
      <c r="C108" t="s">
        <v>86</v>
      </c>
      <c r="I108" s="10">
        <f>ROUND(0.75*F37,2)</f>
        <v>0.26</v>
      </c>
      <c r="J108" s="5" t="s">
        <v>8</v>
      </c>
    </row>
    <row r="109" spans="3:10" ht="15.75">
      <c r="C109" t="s">
        <v>87</v>
      </c>
      <c r="I109" s="10">
        <f>ROUND(1.25*F37,2)</f>
        <v>0.43</v>
      </c>
      <c r="J109" s="5" t="s">
        <v>8</v>
      </c>
    </row>
    <row r="112" ht="15">
      <c r="C112" t="s">
        <v>64</v>
      </c>
    </row>
    <row r="114" spans="3:8" ht="15.75">
      <c r="C114" t="s">
        <v>16</v>
      </c>
      <c r="G114" s="4">
        <f>H97</f>
        <v>0.35</v>
      </c>
      <c r="H114" s="5" t="s">
        <v>8</v>
      </c>
    </row>
    <row r="115" spans="3:8" ht="15.75">
      <c r="C115" t="s">
        <v>66</v>
      </c>
      <c r="G115" s="8">
        <f>C29-G114</f>
        <v>0.2250000000000011</v>
      </c>
      <c r="H115" s="5" t="s">
        <v>8</v>
      </c>
    </row>
  </sheetData>
  <sheetProtection/>
  <mergeCells count="19">
    <mergeCell ref="F105:L105"/>
    <mergeCell ref="B12:E12"/>
    <mergeCell ref="B35:F35"/>
    <mergeCell ref="B34:F34"/>
    <mergeCell ref="B61:F61"/>
    <mergeCell ref="B44:I44"/>
    <mergeCell ref="B56:F56"/>
    <mergeCell ref="B57:F57"/>
    <mergeCell ref="B58:F58"/>
    <mergeCell ref="B59:F59"/>
    <mergeCell ref="B60:F60"/>
    <mergeCell ref="B3:I3"/>
    <mergeCell ref="B15:I15"/>
    <mergeCell ref="B6:E6"/>
    <mergeCell ref="B7:E7"/>
    <mergeCell ref="B8:E8"/>
    <mergeCell ref="B9:E9"/>
    <mergeCell ref="B10:E10"/>
    <mergeCell ref="B11:E11"/>
  </mergeCells>
  <printOptions/>
  <pageMargins left="0.7" right="0.7" top="0.75" bottom="0.75" header="0.3" footer="0.3"/>
  <pageSetup horizontalDpi="600" verticalDpi="600" orientation="portrait" r:id="rId17"/>
  <legacyDrawing r:id="rId16"/>
  <oleObjects>
    <oleObject progId="Equation.3" shapeId="2019891" r:id="rId1"/>
    <oleObject progId="Equation.3" shapeId="2019890" r:id="rId2"/>
    <oleObject progId="Equation.3" shapeId="2019889" r:id="rId3"/>
    <oleObject progId="Equation.3" shapeId="2019888" r:id="rId4"/>
    <oleObject progId="Equation.3" shapeId="2019887" r:id="rId5"/>
    <oleObject progId="Equation.3" shapeId="2019886" r:id="rId6"/>
    <oleObject progId="Equation.3" shapeId="2019885" r:id="rId7"/>
    <oleObject progId="Equation.3" shapeId="2019884" r:id="rId8"/>
    <oleObject progId="Equation.3" shapeId="2019883" r:id="rId9"/>
    <oleObject progId="Equation.3" shapeId="2019882" r:id="rId10"/>
    <oleObject progId="Equation.3" shapeId="2019881" r:id="rId11"/>
    <oleObject progId="Equation.3" shapeId="2019880" r:id="rId12"/>
    <oleObject progId="Equation.3" shapeId="2019879" r:id="rId13"/>
    <oleObject progId="Equation.3" shapeId="2019878" r:id="rId14"/>
    <oleObject progId="Equation.3" shapeId="2019877" r:id="rId15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4:R72"/>
  <sheetViews>
    <sheetView zoomScalePageLayoutView="0" workbookViewId="0" topLeftCell="B19">
      <selection activeCell="G57" sqref="G57"/>
    </sheetView>
  </sheetViews>
  <sheetFormatPr defaultColWidth="11.5546875" defaultRowHeight="15"/>
  <cols>
    <col min="2" max="2" width="10.10546875" style="0" customWidth="1"/>
    <col min="3" max="3" width="13.4453125" style="0" customWidth="1"/>
    <col min="5" max="5" width="13.5546875" style="0" customWidth="1"/>
  </cols>
  <sheetData>
    <row r="3" ht="15.75" thickBot="1"/>
    <row r="4" spans="2:9" ht="16.5" thickBot="1">
      <c r="B4" s="54" t="s">
        <v>22</v>
      </c>
      <c r="C4" s="55"/>
      <c r="D4" s="55"/>
      <c r="E4" s="55"/>
      <c r="F4" s="55"/>
      <c r="G4" s="55"/>
      <c r="H4" s="55"/>
      <c r="I4" s="56"/>
    </row>
    <row r="6" ht="15">
      <c r="B6" t="s">
        <v>36</v>
      </c>
    </row>
    <row r="7" ht="15">
      <c r="B7" t="s">
        <v>24</v>
      </c>
    </row>
    <row r="8" ht="15">
      <c r="B8" t="s">
        <v>25</v>
      </c>
    </row>
    <row r="10" ht="15">
      <c r="P10" s="1">
        <v>2</v>
      </c>
    </row>
    <row r="11" spans="2:8" ht="15.75">
      <c r="B11" s="53" t="s">
        <v>67</v>
      </c>
      <c r="C11" s="53"/>
      <c r="D11" s="53"/>
      <c r="E11" s="53"/>
      <c r="F11" s="53"/>
      <c r="G11" s="2">
        <f>'TUBERIA LATERAL'!H75</f>
        <v>400</v>
      </c>
      <c r="H11" t="s">
        <v>19</v>
      </c>
    </row>
    <row r="12" spans="2:8" ht="15.75">
      <c r="B12" s="53" t="s">
        <v>68</v>
      </c>
      <c r="C12" s="53"/>
      <c r="D12" s="53"/>
      <c r="E12" s="53"/>
      <c r="F12" s="53"/>
      <c r="G12" s="2">
        <f>'TUBERIA LATERAL'!H91</f>
        <v>10.22</v>
      </c>
      <c r="H12" t="s">
        <v>8</v>
      </c>
    </row>
    <row r="13" spans="2:8" ht="15.75">
      <c r="B13" s="53" t="s">
        <v>69</v>
      </c>
      <c r="C13" s="53"/>
      <c r="D13" s="53"/>
      <c r="E13" s="53"/>
      <c r="F13" s="53"/>
      <c r="G13" s="3">
        <v>50</v>
      </c>
      <c r="H13" t="s">
        <v>8</v>
      </c>
    </row>
    <row r="14" spans="2:8" ht="15.75">
      <c r="B14" s="53" t="s">
        <v>70</v>
      </c>
      <c r="C14" s="53"/>
      <c r="D14" s="53"/>
      <c r="E14" s="53"/>
      <c r="F14" s="53"/>
      <c r="G14" s="3">
        <v>1.2</v>
      </c>
      <c r="H14" t="s">
        <v>8</v>
      </c>
    </row>
    <row r="15" spans="2:8" ht="15.75">
      <c r="B15" s="53" t="s">
        <v>71</v>
      </c>
      <c r="C15" s="53"/>
      <c r="D15" s="53"/>
      <c r="E15" s="53"/>
      <c r="F15" s="53"/>
      <c r="G15" s="3">
        <v>0.1</v>
      </c>
      <c r="H15" t="s">
        <v>15</v>
      </c>
    </row>
    <row r="16" spans="2:8" ht="15.75">
      <c r="B16" s="53" t="s">
        <v>72</v>
      </c>
      <c r="C16" s="53"/>
      <c r="D16" s="53"/>
      <c r="E16" s="53"/>
      <c r="F16" s="53"/>
      <c r="G16" s="3">
        <v>0.1</v>
      </c>
      <c r="H16" t="s">
        <v>8</v>
      </c>
    </row>
    <row r="19" ht="15">
      <c r="B19" t="s">
        <v>35</v>
      </c>
    </row>
    <row r="21" ht="15">
      <c r="B21" t="s">
        <v>43</v>
      </c>
    </row>
    <row r="22" ht="15">
      <c r="B22" t="s">
        <v>73</v>
      </c>
    </row>
    <row r="24" ht="18">
      <c r="C24" t="s">
        <v>84</v>
      </c>
    </row>
    <row r="26" spans="3:18" ht="15">
      <c r="C26" t="s">
        <v>37</v>
      </c>
      <c r="P26" t="s">
        <v>74</v>
      </c>
      <c r="Q26">
        <v>1</v>
      </c>
      <c r="R26">
        <v>12.8</v>
      </c>
    </row>
    <row r="27" spans="16:18" ht="15">
      <c r="P27" t="s">
        <v>75</v>
      </c>
      <c r="Q27">
        <v>2</v>
      </c>
      <c r="R27">
        <v>16.6</v>
      </c>
    </row>
    <row r="28" spans="2:18" ht="15.75">
      <c r="B28" s="7" t="s">
        <v>45</v>
      </c>
      <c r="C28" t="s">
        <v>130</v>
      </c>
      <c r="H28" s="4">
        <f>ROUNDUP(G13/G14,0)</f>
        <v>42</v>
      </c>
      <c r="I28" s="5" t="s">
        <v>47</v>
      </c>
      <c r="P28" t="s">
        <v>76</v>
      </c>
      <c r="Q28">
        <v>3</v>
      </c>
      <c r="R28">
        <v>21</v>
      </c>
    </row>
    <row r="29" spans="8:18" ht="15.75">
      <c r="H29" s="5"/>
      <c r="I29" s="5"/>
      <c r="P29" t="s">
        <v>77</v>
      </c>
      <c r="Q29">
        <v>4</v>
      </c>
      <c r="R29">
        <v>28</v>
      </c>
    </row>
    <row r="30" spans="2:18" ht="15.75">
      <c r="B30" s="7" t="s">
        <v>45</v>
      </c>
      <c r="C30" t="s">
        <v>131</v>
      </c>
      <c r="H30" s="4">
        <f>H28*G11</f>
        <v>16800</v>
      </c>
      <c r="I30" s="5" t="s">
        <v>19</v>
      </c>
      <c r="P30" t="s">
        <v>78</v>
      </c>
      <c r="Q30">
        <v>5</v>
      </c>
      <c r="R30">
        <v>35.2</v>
      </c>
    </row>
    <row r="31" spans="8:18" ht="15.75">
      <c r="H31" s="5"/>
      <c r="I31" s="5"/>
      <c r="P31" t="s">
        <v>79</v>
      </c>
      <c r="Q31">
        <v>6</v>
      </c>
      <c r="R31">
        <v>44</v>
      </c>
    </row>
    <row r="32" spans="2:18" ht="15.75">
      <c r="B32" s="7" t="s">
        <v>45</v>
      </c>
      <c r="C32" t="s">
        <v>49</v>
      </c>
      <c r="H32" s="4">
        <f>ROUND(H30/3600,3)</f>
        <v>4.667</v>
      </c>
      <c r="I32" s="5" t="s">
        <v>50</v>
      </c>
      <c r="P32" t="s">
        <v>80</v>
      </c>
      <c r="Q32">
        <v>7</v>
      </c>
      <c r="R32">
        <v>55.4</v>
      </c>
    </row>
    <row r="33" spans="8:18" ht="15.75">
      <c r="H33" s="5"/>
      <c r="I33" s="5"/>
      <c r="P33" t="s">
        <v>81</v>
      </c>
      <c r="Q33">
        <v>8</v>
      </c>
      <c r="R33">
        <v>66</v>
      </c>
    </row>
    <row r="34" spans="2:18" ht="15.75">
      <c r="B34" s="7" t="s">
        <v>45</v>
      </c>
      <c r="C34" t="s">
        <v>51</v>
      </c>
      <c r="H34" s="4">
        <f>ROUND(7.89*10^7*(H32^1.75/P40^4.75),2)</f>
        <v>1.12</v>
      </c>
      <c r="I34" s="5" t="s">
        <v>52</v>
      </c>
      <c r="P34" t="s">
        <v>82</v>
      </c>
      <c r="Q34">
        <v>9</v>
      </c>
      <c r="R34">
        <v>79.2</v>
      </c>
    </row>
    <row r="35" spans="8:18" ht="15.75">
      <c r="H35" s="5"/>
      <c r="I35" s="5"/>
      <c r="P35" t="s">
        <v>83</v>
      </c>
      <c r="Q35">
        <v>10</v>
      </c>
      <c r="R35">
        <v>96.8</v>
      </c>
    </row>
    <row r="36" spans="2:9" ht="15.75">
      <c r="B36" s="7" t="s">
        <v>45</v>
      </c>
      <c r="C36" t="s">
        <v>53</v>
      </c>
      <c r="H36" s="4">
        <f>ROUND(H34*((G14+G16)/G14),2)</f>
        <v>1.21</v>
      </c>
      <c r="I36" s="5" t="s">
        <v>8</v>
      </c>
    </row>
    <row r="37" ht="15">
      <c r="P37" s="1">
        <v>9</v>
      </c>
    </row>
    <row r="40" spans="2:16" ht="15.75">
      <c r="B40" s="7" t="s">
        <v>45</v>
      </c>
      <c r="C40" t="s">
        <v>54</v>
      </c>
      <c r="H40" s="4">
        <f>ROUND(0.364+(1/(2*H28))+(0.866/(6*H28^2)),3)</f>
        <v>0.376</v>
      </c>
      <c r="P40" s="1">
        <f>VLOOKUP(P37,Q26:R35,2,FALSE)</f>
        <v>79.2</v>
      </c>
    </row>
    <row r="43" spans="2:9" ht="15.75">
      <c r="B43" s="7" t="s">
        <v>45</v>
      </c>
      <c r="C43" t="s">
        <v>55</v>
      </c>
      <c r="H43" s="8">
        <f>ROUND(H36*H40*G13/100,2)</f>
        <v>0.23</v>
      </c>
      <c r="I43" s="5" t="s">
        <v>8</v>
      </c>
    </row>
    <row r="46" spans="2:9" ht="15.75">
      <c r="B46" s="7" t="s">
        <v>45</v>
      </c>
      <c r="C46" t="s">
        <v>132</v>
      </c>
      <c r="H46" s="4">
        <f>ROUND(G12+(3/4)*H43+0.5*(G15*G13/100),2)</f>
        <v>10.42</v>
      </c>
      <c r="I46" s="5" t="s">
        <v>8</v>
      </c>
    </row>
    <row r="49" spans="2:9" ht="15.75">
      <c r="B49" s="7" t="s">
        <v>45</v>
      </c>
      <c r="C49" t="s">
        <v>133</v>
      </c>
      <c r="H49" s="4">
        <f>ROUND(H46-(H43+(G15*G13/100)),2)</f>
        <v>10.14</v>
      </c>
      <c r="I49" s="5" t="s">
        <v>8</v>
      </c>
    </row>
    <row r="52" spans="2:9" ht="15.75">
      <c r="B52" s="7" t="s">
        <v>45</v>
      </c>
      <c r="C52" t="s">
        <v>58</v>
      </c>
      <c r="H52" s="4">
        <f>ROUND(H46-H49,2)</f>
        <v>0.28</v>
      </c>
      <c r="I52" s="5" t="s">
        <v>8</v>
      </c>
    </row>
    <row r="54" spans="2:3" ht="15.75">
      <c r="B54" s="7" t="s">
        <v>45</v>
      </c>
      <c r="C54" t="s">
        <v>134</v>
      </c>
    </row>
    <row r="55" ht="15">
      <c r="C55" t="s">
        <v>60</v>
      </c>
    </row>
    <row r="57" ht="15.75">
      <c r="C57" t="s">
        <v>62</v>
      </c>
    </row>
    <row r="58" ht="15.75">
      <c r="C58" t="s">
        <v>63</v>
      </c>
    </row>
    <row r="60" spans="3:12" ht="15.75">
      <c r="C60" t="s">
        <v>61</v>
      </c>
      <c r="E60" s="9" t="b">
        <f>H52&lt;'TUBERIA LATERAL'!G115</f>
        <v>0</v>
      </c>
      <c r="F60" s="57" t="str">
        <f>IF(E60=TRUE,IF(H52&gt;=0.8*'TUBERIA LATERAL'!G115,"SE ACEPTA EL DIAMETRO DE LA TUBERIA LATERAL","DIAMETRO SOBREDIMENSIONADO, CALCULAR PARA UNO MENOR"),IF(H52&gt;1.25*'TUBERIA LATERAL'!G115,"PERDIDA DE CARGA MUY ALTA EN EL LATERAL. CALCULAR PARA UN DIAMETRO MAYOR","SE ACEPTA EL DIAMETRO DE LA TUBERIA LATERAL"))</f>
        <v>SE ACEPTA EL DIAMETRO DE LA TUBERIA LATERAL</v>
      </c>
      <c r="G60" s="58"/>
      <c r="H60" s="58"/>
      <c r="I60" s="58"/>
      <c r="J60" s="58"/>
      <c r="K60" s="58"/>
      <c r="L60" s="58"/>
    </row>
    <row r="63" spans="3:10" ht="15.75">
      <c r="C63" t="s">
        <v>86</v>
      </c>
      <c r="I63" s="10">
        <f>ROUND(0.75*'TUBERIA LATERAL'!G115,2)</f>
        <v>0.17</v>
      </c>
      <c r="J63" s="5" t="s">
        <v>8</v>
      </c>
    </row>
    <row r="64" spans="3:10" ht="15.75">
      <c r="C64" t="s">
        <v>87</v>
      </c>
      <c r="I64" s="10">
        <f>ROUND(1.25*'TUBERIA LATERAL'!G115,2)</f>
        <v>0.28</v>
      </c>
      <c r="J64" s="5" t="s">
        <v>8</v>
      </c>
    </row>
    <row r="67" ht="15">
      <c r="C67" t="s">
        <v>64</v>
      </c>
    </row>
    <row r="69" spans="3:8" ht="15.75">
      <c r="C69" s="60" t="s">
        <v>16</v>
      </c>
      <c r="D69" s="60"/>
      <c r="E69" s="60"/>
      <c r="F69" s="61"/>
      <c r="G69" s="4">
        <f>'TUBERIA LATERAL'!G114</f>
        <v>0.35</v>
      </c>
      <c r="H69" s="5" t="s">
        <v>8</v>
      </c>
    </row>
    <row r="70" spans="3:8" ht="15.75">
      <c r="C70" s="60" t="s">
        <v>66</v>
      </c>
      <c r="D70" s="60"/>
      <c r="E70" s="60"/>
      <c r="F70" s="61"/>
      <c r="G70" s="8">
        <f>H52</f>
        <v>0.28</v>
      </c>
      <c r="H70" s="5" t="s">
        <v>8</v>
      </c>
    </row>
    <row r="72" ht="15">
      <c r="G72" s="11"/>
    </row>
  </sheetData>
  <sheetProtection/>
  <mergeCells count="10">
    <mergeCell ref="B4:I4"/>
    <mergeCell ref="C69:F69"/>
    <mergeCell ref="C70:F70"/>
    <mergeCell ref="F60:L60"/>
    <mergeCell ref="B11:F11"/>
    <mergeCell ref="B12:F12"/>
    <mergeCell ref="B13:F13"/>
    <mergeCell ref="B14:F14"/>
    <mergeCell ref="B15:F15"/>
    <mergeCell ref="B16:F16"/>
  </mergeCells>
  <printOptions/>
  <pageMargins left="0.7" right="0.7" top="0.75" bottom="0.75" header="0.3" footer="0.3"/>
  <pageSetup orientation="portrait" paperSize="9"/>
  <legacyDrawing r:id="rId11"/>
  <oleObjects>
    <oleObject progId="Equation.3" shapeId="1585747" r:id="rId1"/>
    <oleObject progId="Equation.3" shapeId="1585748" r:id="rId2"/>
    <oleObject progId="Equation.3" shapeId="1585749" r:id="rId3"/>
    <oleObject progId="Equation.3" shapeId="1585750" r:id="rId4"/>
    <oleObject progId="Equation.3" shapeId="1585751" r:id="rId5"/>
    <oleObject progId="Equation.3" shapeId="1585752" r:id="rId6"/>
    <oleObject progId="Equation.3" shapeId="1585753" r:id="rId7"/>
    <oleObject progId="Equation.3" shapeId="1585754" r:id="rId8"/>
    <oleObject progId="Equation.3" shapeId="1585755" r:id="rId9"/>
    <oleObject progId="Equation.3" shapeId="1585756" r:id="rId10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B2:L36"/>
  <sheetViews>
    <sheetView zoomScalePageLayoutView="0" workbookViewId="0" topLeftCell="B1">
      <selection activeCell="I24" sqref="I24"/>
    </sheetView>
  </sheetViews>
  <sheetFormatPr defaultColWidth="11.5546875" defaultRowHeight="15"/>
  <cols>
    <col min="7" max="7" width="12.21484375" style="0" bestFit="1" customWidth="1"/>
  </cols>
  <sheetData>
    <row r="2" spans="2:12" ht="15.75">
      <c r="B2" s="62" t="s">
        <v>99</v>
      </c>
      <c r="C2" s="62"/>
      <c r="D2" s="62"/>
      <c r="E2" s="62"/>
      <c r="F2" s="62"/>
      <c r="G2" s="62"/>
      <c r="H2" s="62"/>
      <c r="I2" s="62"/>
      <c r="J2" s="62"/>
      <c r="K2" s="62"/>
      <c r="L2" s="62"/>
    </row>
    <row r="4" spans="2:10" ht="15.75">
      <c r="B4" t="s">
        <v>96</v>
      </c>
      <c r="G4" s="3">
        <v>16</v>
      </c>
      <c r="H4" t="s">
        <v>95</v>
      </c>
      <c r="J4" t="s">
        <v>100</v>
      </c>
    </row>
    <row r="6" spans="2:8" ht="15.75">
      <c r="B6" t="s">
        <v>88</v>
      </c>
      <c r="G6" s="4">
        <f>ROUND('DATOS ENTRADA'!G4/('TUBERIA LATERAL'!F6*'TUBERIA LATERAL'!F12),2)</f>
        <v>1.25</v>
      </c>
      <c r="H6" t="s">
        <v>94</v>
      </c>
    </row>
    <row r="8" spans="2:9" ht="15.75">
      <c r="B8" t="s">
        <v>90</v>
      </c>
      <c r="G8" s="3">
        <v>5</v>
      </c>
      <c r="H8" t="s">
        <v>94</v>
      </c>
      <c r="I8" t="s">
        <v>91</v>
      </c>
    </row>
    <row r="10" spans="2:11" ht="15.75">
      <c r="B10" t="s">
        <v>92</v>
      </c>
      <c r="G10" s="2">
        <f>ROUND(G8/G6,2)</f>
        <v>4</v>
      </c>
      <c r="H10" t="s">
        <v>93</v>
      </c>
      <c r="I10" s="13" t="s">
        <v>98</v>
      </c>
      <c r="J10" s="14">
        <f>MOD(G4,G10)</f>
        <v>0</v>
      </c>
      <c r="K10" t="s">
        <v>101</v>
      </c>
    </row>
    <row r="12" spans="2:8" ht="15.75">
      <c r="B12" t="s">
        <v>102</v>
      </c>
      <c r="G12" s="4">
        <f>G4/G10</f>
        <v>4</v>
      </c>
      <c r="H12" t="s">
        <v>97</v>
      </c>
    </row>
    <row r="14" spans="2:9" ht="15.75">
      <c r="B14" t="s">
        <v>103</v>
      </c>
      <c r="G14" s="4">
        <f>'DATOS ENTRADA'!G6</f>
        <v>20</v>
      </c>
      <c r="H14" t="s">
        <v>50</v>
      </c>
      <c r="I14" t="s">
        <v>104</v>
      </c>
    </row>
    <row r="16" spans="2:10" ht="15.75">
      <c r="B16" t="s">
        <v>105</v>
      </c>
      <c r="G16" s="4">
        <f>ROUND(10*('DATOS ENTRADA'!G2/OPERACION!G10)*('TUBERIA LATERAL'!$F$12/'TUBERIA LATERAL'!$G$59)*('TUBERIA LATERAL'!$G$56/'TUBERIA TERCIARIA'!G14),1)</f>
        <v>66.7</v>
      </c>
      <c r="H16" t="s">
        <v>108</v>
      </c>
      <c r="I16" s="4">
        <f>ROUND(G16*1000/3600,1)</f>
        <v>18.5</v>
      </c>
      <c r="J16" t="s">
        <v>50</v>
      </c>
    </row>
    <row r="18" spans="2:11" ht="15.75">
      <c r="B18" s="12" t="s">
        <v>109</v>
      </c>
      <c r="C18" s="12"/>
      <c r="D18" s="12"/>
      <c r="E18" s="12"/>
      <c r="F18" s="12"/>
      <c r="G18" s="12"/>
      <c r="H18" s="12"/>
      <c r="I18" s="12"/>
      <c r="J18" s="12"/>
      <c r="K18" s="12"/>
    </row>
    <row r="25" ht="15">
      <c r="C25" t="s">
        <v>113</v>
      </c>
    </row>
    <row r="26" ht="15">
      <c r="C26" t="s">
        <v>112</v>
      </c>
    </row>
    <row r="27" ht="15">
      <c r="C27" t="s">
        <v>110</v>
      </c>
    </row>
    <row r="28" ht="15">
      <c r="C28" t="s">
        <v>111</v>
      </c>
    </row>
    <row r="29" ht="15">
      <c r="C29" t="s">
        <v>114</v>
      </c>
    </row>
    <row r="30" ht="15">
      <c r="C30" t="s">
        <v>115</v>
      </c>
    </row>
    <row r="31" ht="15">
      <c r="C31" t="s">
        <v>117</v>
      </c>
    </row>
    <row r="32" ht="15">
      <c r="C32" t="s">
        <v>116</v>
      </c>
    </row>
    <row r="33" ht="15">
      <c r="C33" t="s">
        <v>118</v>
      </c>
    </row>
    <row r="34" ht="15">
      <c r="C34" t="s">
        <v>119</v>
      </c>
    </row>
    <row r="35" ht="15">
      <c r="C35" t="s">
        <v>120</v>
      </c>
    </row>
    <row r="36" ht="15">
      <c r="C36" t="s">
        <v>121</v>
      </c>
    </row>
  </sheetData>
  <sheetProtection/>
  <mergeCells count="1">
    <mergeCell ref="B2:L2"/>
  </mergeCells>
  <printOptions/>
  <pageMargins left="0.7" right="0.7" top="0.75" bottom="0.75" header="0.3" footer="0.3"/>
  <pageSetup horizontalDpi="600" verticalDpi="600" orientation="portrait" r:id="rId6"/>
  <legacyDrawing r:id="rId5"/>
  <oleObjects>
    <oleObject progId="Equation.3" shapeId="1735914" r:id="rId1"/>
    <oleObject progId="Equation.3" shapeId="1960189" r:id="rId2"/>
    <oleObject progId="Equation.3" shapeId="1964008" r:id="rId3"/>
    <oleObject progId="Equation.3" shapeId="1976916" r:id="rId4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2:Q94"/>
  <sheetViews>
    <sheetView zoomScalePageLayoutView="0" workbookViewId="0" topLeftCell="A1">
      <selection activeCell="M39" sqref="M39:Q51"/>
    </sheetView>
  </sheetViews>
  <sheetFormatPr defaultColWidth="11.5546875" defaultRowHeight="15"/>
  <cols>
    <col min="4" max="4" width="11.77734375" style="0" bestFit="1" customWidth="1"/>
  </cols>
  <sheetData>
    <row r="1" ht="9" customHeight="1" thickBot="1"/>
    <row r="2" spans="1:11" ht="15.75">
      <c r="A2" s="63" t="s">
        <v>195</v>
      </c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11" ht="15.75" thickBot="1">
      <c r="A3" s="24"/>
      <c r="B3" s="25"/>
      <c r="C3" s="25"/>
      <c r="D3" s="25"/>
      <c r="E3" s="25"/>
      <c r="F3" s="25"/>
      <c r="G3" s="25"/>
      <c r="H3" s="25"/>
      <c r="I3" s="25"/>
      <c r="J3" s="25"/>
      <c r="K3" s="26"/>
    </row>
    <row r="4" spans="1:11" ht="16.5" thickBot="1">
      <c r="A4" s="27" t="s">
        <v>122</v>
      </c>
      <c r="B4" s="28"/>
      <c r="C4" s="28"/>
      <c r="D4" s="28"/>
      <c r="E4" s="28"/>
      <c r="F4" s="37">
        <f>OPERACION!G10</f>
        <v>4</v>
      </c>
      <c r="G4" s="28" t="s">
        <v>123</v>
      </c>
      <c r="H4" s="28"/>
      <c r="I4" s="28"/>
      <c r="J4" s="28"/>
      <c r="K4" s="29"/>
    </row>
    <row r="5" spans="1:11" ht="15.75" thickBot="1">
      <c r="A5" s="27"/>
      <c r="B5" s="28"/>
      <c r="C5" s="28"/>
      <c r="D5" s="28"/>
      <c r="E5" s="28"/>
      <c r="F5" s="28"/>
      <c r="G5" s="28"/>
      <c r="H5" s="28"/>
      <c r="I5" s="28"/>
      <c r="J5" s="28"/>
      <c r="K5" s="29"/>
    </row>
    <row r="6" spans="1:11" ht="16.5" thickBot="1">
      <c r="A6" s="27" t="s">
        <v>124</v>
      </c>
      <c r="B6" s="28"/>
      <c r="C6" s="28"/>
      <c r="D6" s="28"/>
      <c r="E6" s="28"/>
      <c r="F6" s="37">
        <f>OPERACION!G12</f>
        <v>4</v>
      </c>
      <c r="G6" s="28" t="s">
        <v>139</v>
      </c>
      <c r="H6" s="28"/>
      <c r="I6" s="28"/>
      <c r="J6" s="28"/>
      <c r="K6" s="29"/>
    </row>
    <row r="7" spans="1:11" ht="15">
      <c r="A7" s="27"/>
      <c r="B7" s="28"/>
      <c r="C7" s="28"/>
      <c r="D7" s="28"/>
      <c r="E7" s="28"/>
      <c r="F7" s="28"/>
      <c r="G7" s="28"/>
      <c r="H7" s="28"/>
      <c r="I7" s="28"/>
      <c r="J7" s="28"/>
      <c r="K7" s="29"/>
    </row>
    <row r="8" spans="1:11" ht="15">
      <c r="A8" s="27" t="s">
        <v>125</v>
      </c>
      <c r="B8" s="28"/>
      <c r="C8" s="28"/>
      <c r="D8" s="28"/>
      <c r="E8" s="28"/>
      <c r="F8" s="28"/>
      <c r="G8" s="28"/>
      <c r="H8" s="28"/>
      <c r="I8" s="28"/>
      <c r="J8" s="28"/>
      <c r="K8" s="29"/>
    </row>
    <row r="9" spans="1:11" ht="15">
      <c r="A9" s="27" t="s">
        <v>126</v>
      </c>
      <c r="B9" s="28"/>
      <c r="C9" s="28"/>
      <c r="D9" s="28"/>
      <c r="E9" s="28"/>
      <c r="F9" s="28"/>
      <c r="G9" s="28"/>
      <c r="H9" s="28"/>
      <c r="I9" s="28"/>
      <c r="J9" s="28"/>
      <c r="K9" s="29"/>
    </row>
    <row r="10" spans="1:11" ht="15">
      <c r="A10" s="27"/>
      <c r="B10" s="28"/>
      <c r="C10" s="28"/>
      <c r="D10" s="28"/>
      <c r="E10" s="28"/>
      <c r="F10" s="28"/>
      <c r="G10" s="28"/>
      <c r="H10" s="28"/>
      <c r="I10" s="28"/>
      <c r="J10" s="28"/>
      <c r="K10" s="29"/>
    </row>
    <row r="11" spans="1:11" ht="15.75" thickBot="1">
      <c r="A11" s="27"/>
      <c r="B11" s="28"/>
      <c r="C11" s="28"/>
      <c r="D11" s="28"/>
      <c r="E11" s="28"/>
      <c r="F11" s="28"/>
      <c r="G11" s="28"/>
      <c r="H11" s="28"/>
      <c r="I11" s="28"/>
      <c r="J11" s="28"/>
      <c r="K11" s="29"/>
    </row>
    <row r="12" spans="1:11" ht="16.5" thickBot="1">
      <c r="A12" s="27" t="s">
        <v>127</v>
      </c>
      <c r="B12" s="28"/>
      <c r="C12" s="28"/>
      <c r="D12" s="28"/>
      <c r="E12" s="28"/>
      <c r="F12" s="38">
        <v>4</v>
      </c>
      <c r="G12" s="28"/>
      <c r="H12" s="28"/>
      <c r="I12" s="28"/>
      <c r="J12" s="28"/>
      <c r="K12" s="29"/>
    </row>
    <row r="13" spans="1:11" ht="15.75" thickBot="1">
      <c r="A13" s="27"/>
      <c r="B13" s="28"/>
      <c r="C13" s="28"/>
      <c r="D13" s="28"/>
      <c r="E13" s="28"/>
      <c r="F13" s="28"/>
      <c r="G13" s="28"/>
      <c r="H13" s="28"/>
      <c r="I13" s="28"/>
      <c r="J13" s="28"/>
      <c r="K13" s="29"/>
    </row>
    <row r="14" spans="1:11" ht="16.5" thickBot="1">
      <c r="A14" s="27" t="s">
        <v>128</v>
      </c>
      <c r="B14" s="28"/>
      <c r="C14" s="28"/>
      <c r="D14" s="28"/>
      <c r="E14" s="28"/>
      <c r="F14" s="38">
        <v>100</v>
      </c>
      <c r="G14" s="28" t="s">
        <v>8</v>
      </c>
      <c r="H14" s="28"/>
      <c r="I14" s="28"/>
      <c r="J14" s="28"/>
      <c r="K14" s="29"/>
    </row>
    <row r="15" spans="1:11" ht="15.75" thickBot="1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9"/>
    </row>
    <row r="16" spans="1:11" ht="16.5" thickBot="1">
      <c r="A16" s="27" t="s">
        <v>129</v>
      </c>
      <c r="B16" s="28"/>
      <c r="C16" s="28"/>
      <c r="D16" s="28"/>
      <c r="E16" s="28"/>
      <c r="F16" s="38">
        <v>2</v>
      </c>
      <c r="G16" s="28"/>
      <c r="H16" s="28"/>
      <c r="I16" s="28"/>
      <c r="J16" s="28"/>
      <c r="K16" s="29"/>
    </row>
    <row r="17" spans="1:11" ht="15.75" thickBot="1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9"/>
    </row>
    <row r="18" spans="1:11" ht="16.5" thickBot="1">
      <c r="A18" s="27" t="s">
        <v>135</v>
      </c>
      <c r="B18" s="28"/>
      <c r="C18" s="28"/>
      <c r="D18" s="28"/>
      <c r="E18" s="28"/>
      <c r="F18" s="37">
        <f>'TUBERIA TERCIARIA'!H30</f>
        <v>16800</v>
      </c>
      <c r="G18" s="28" t="s">
        <v>19</v>
      </c>
      <c r="H18" s="28"/>
      <c r="I18" s="28"/>
      <c r="J18" s="28"/>
      <c r="K18" s="29"/>
    </row>
    <row r="19" spans="1:11" ht="15.75" thickBo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9"/>
    </row>
    <row r="20" spans="1:11" ht="16.5" thickBot="1">
      <c r="A20" s="27" t="s">
        <v>136</v>
      </c>
      <c r="B20" s="28"/>
      <c r="C20" s="28"/>
      <c r="D20" s="28"/>
      <c r="E20" s="28"/>
      <c r="F20" s="22">
        <f>F18*F16</f>
        <v>33600</v>
      </c>
      <c r="G20" s="28" t="s">
        <v>19</v>
      </c>
      <c r="H20" s="28"/>
      <c r="I20" s="28"/>
      <c r="J20" s="28"/>
      <c r="K20" s="29"/>
    </row>
    <row r="21" spans="1:11" ht="15.75" thickBot="1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9"/>
    </row>
    <row r="22" spans="1:11" ht="16.5" thickBot="1">
      <c r="A22" s="27" t="s">
        <v>137</v>
      </c>
      <c r="B22" s="28"/>
      <c r="C22" s="28"/>
      <c r="D22" s="28"/>
      <c r="E22" s="28"/>
      <c r="F22" s="22">
        <f>ROUND(F20/1000/3600,3)</f>
        <v>0.009</v>
      </c>
      <c r="G22" s="28" t="s">
        <v>138</v>
      </c>
      <c r="H22" s="28"/>
      <c r="I22" s="28"/>
      <c r="J22" s="28"/>
      <c r="K22" s="29"/>
    </row>
    <row r="23" spans="1:11" ht="15.75" thickBot="1">
      <c r="A23" s="27"/>
      <c r="B23" s="28"/>
      <c r="C23" s="28"/>
      <c r="D23" s="28"/>
      <c r="E23" s="28"/>
      <c r="F23" s="28"/>
      <c r="G23" s="28"/>
      <c r="H23" s="28"/>
      <c r="I23" s="28"/>
      <c r="J23" s="28"/>
      <c r="K23" s="29"/>
    </row>
    <row r="24" spans="1:11" ht="16.5" thickBot="1">
      <c r="A24" s="27" t="s">
        <v>140</v>
      </c>
      <c r="B24" s="28"/>
      <c r="C24" s="28"/>
      <c r="D24" s="28"/>
      <c r="E24" s="28"/>
      <c r="F24" s="22">
        <f>ROUND(F20/3600,3)</f>
        <v>9.333</v>
      </c>
      <c r="G24" s="28" t="s">
        <v>50</v>
      </c>
      <c r="H24" s="28"/>
      <c r="I24" s="28"/>
      <c r="J24" s="28"/>
      <c r="K24" s="29"/>
    </row>
    <row r="25" spans="1:11" ht="15">
      <c r="A25" s="27"/>
      <c r="B25" s="28"/>
      <c r="C25" s="28"/>
      <c r="D25" s="28"/>
      <c r="E25" s="28"/>
      <c r="F25" s="28"/>
      <c r="G25" s="28"/>
      <c r="H25" s="28"/>
      <c r="I25" s="28"/>
      <c r="J25" s="28"/>
      <c r="K25" s="29"/>
    </row>
    <row r="26" spans="1:11" ht="15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9"/>
    </row>
    <row r="27" spans="1:11" ht="15">
      <c r="A27" s="41" t="s">
        <v>141</v>
      </c>
      <c r="B27" s="42"/>
      <c r="C27" s="42"/>
      <c r="D27" s="42"/>
      <c r="E27" s="42"/>
      <c r="F27" s="42"/>
      <c r="G27" s="42"/>
      <c r="H27" s="42"/>
      <c r="I27" s="42"/>
      <c r="J27" s="42"/>
      <c r="K27" s="43"/>
    </row>
    <row r="28" spans="1:11" ht="15.75" thickBot="1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9"/>
    </row>
    <row r="29" spans="1:11" ht="16.5" thickBot="1">
      <c r="A29" s="27" t="s">
        <v>142</v>
      </c>
      <c r="B29" s="28"/>
      <c r="C29" s="22">
        <f>ROUND(SQRT(4*F22/(3.1416*2.13)),4)</f>
        <v>0.0733</v>
      </c>
      <c r="D29" s="28" t="s">
        <v>8</v>
      </c>
      <c r="E29" s="28"/>
      <c r="F29" s="28"/>
      <c r="G29" s="28"/>
      <c r="H29" s="28"/>
      <c r="I29" s="28"/>
      <c r="J29" s="28"/>
      <c r="K29" s="29"/>
    </row>
    <row r="30" spans="1:11" ht="15.75" thickBot="1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9"/>
    </row>
    <row r="31" spans="1:11" ht="16.5" thickBot="1">
      <c r="A31" s="27" t="s">
        <v>143</v>
      </c>
      <c r="B31" s="28"/>
      <c r="C31" s="22">
        <f>ROUND(C29/0.0254,0)</f>
        <v>3</v>
      </c>
      <c r="D31" s="28" t="s">
        <v>144</v>
      </c>
      <c r="E31" s="28"/>
      <c r="F31" s="28"/>
      <c r="G31" s="28"/>
      <c r="H31" s="28"/>
      <c r="I31" s="28"/>
      <c r="J31" s="28"/>
      <c r="K31" s="29"/>
    </row>
    <row r="32" spans="1:11" ht="15">
      <c r="A32" s="27"/>
      <c r="B32" s="28"/>
      <c r="C32" s="28"/>
      <c r="D32" s="28"/>
      <c r="E32" s="28"/>
      <c r="F32" s="28"/>
      <c r="G32" s="28"/>
      <c r="H32" s="28"/>
      <c r="I32" s="28"/>
      <c r="J32" s="28"/>
      <c r="K32" s="29"/>
    </row>
    <row r="33" spans="1:11" ht="15">
      <c r="A33" s="27"/>
      <c r="B33" s="28"/>
      <c r="C33" s="28"/>
      <c r="D33" s="28"/>
      <c r="E33" s="28"/>
      <c r="F33" s="28"/>
      <c r="G33" s="28"/>
      <c r="H33" s="28"/>
      <c r="I33" s="28"/>
      <c r="J33" s="28"/>
      <c r="K33" s="29"/>
    </row>
    <row r="34" spans="1:11" ht="15.75">
      <c r="A34" s="41" t="s">
        <v>145</v>
      </c>
      <c r="B34" s="39"/>
      <c r="C34" s="39"/>
      <c r="D34" s="39"/>
      <c r="E34" s="39"/>
      <c r="F34" s="39"/>
      <c r="G34" s="39"/>
      <c r="H34" s="39"/>
      <c r="I34" s="39"/>
      <c r="J34" s="39"/>
      <c r="K34" s="40"/>
    </row>
    <row r="35" spans="1:11" ht="15">
      <c r="A35" s="27"/>
      <c r="B35" s="28"/>
      <c r="C35" s="28"/>
      <c r="D35" s="28"/>
      <c r="E35" s="28"/>
      <c r="F35" s="28"/>
      <c r="G35" s="28"/>
      <c r="H35" s="28"/>
      <c r="I35" s="28"/>
      <c r="J35" s="28"/>
      <c r="K35" s="29"/>
    </row>
    <row r="36" spans="1:11" ht="15">
      <c r="A36" s="27" t="s">
        <v>146</v>
      </c>
      <c r="B36" s="28"/>
      <c r="C36" s="28"/>
      <c r="D36" s="28"/>
      <c r="E36" s="28"/>
      <c r="F36" s="28"/>
      <c r="G36" s="28"/>
      <c r="H36" s="28"/>
      <c r="I36" s="28"/>
      <c r="J36" s="28"/>
      <c r="K36" s="29"/>
    </row>
    <row r="37" spans="1:11" ht="15">
      <c r="A37" s="27" t="s">
        <v>147</v>
      </c>
      <c r="B37" s="28"/>
      <c r="C37" s="28"/>
      <c r="D37" s="28"/>
      <c r="E37" s="28"/>
      <c r="F37" s="28"/>
      <c r="G37" s="28"/>
      <c r="H37" s="28"/>
      <c r="I37" s="28"/>
      <c r="J37" s="28"/>
      <c r="K37" s="29"/>
    </row>
    <row r="38" spans="1:11" ht="15">
      <c r="A38" s="27"/>
      <c r="B38" s="28"/>
      <c r="C38" s="28"/>
      <c r="D38" s="28"/>
      <c r="E38" s="28"/>
      <c r="F38" s="28"/>
      <c r="G38" s="28"/>
      <c r="H38" s="28"/>
      <c r="I38" s="28"/>
      <c r="J38" s="28"/>
      <c r="K38" s="29"/>
    </row>
    <row r="39" spans="1:17" ht="18">
      <c r="A39" s="27" t="s">
        <v>162</v>
      </c>
      <c r="B39" s="28"/>
      <c r="C39" s="28"/>
      <c r="D39" s="28"/>
      <c r="E39" s="28"/>
      <c r="F39" s="28" t="s">
        <v>163</v>
      </c>
      <c r="G39" s="28"/>
      <c r="H39" s="28"/>
      <c r="I39" s="28"/>
      <c r="J39" s="28"/>
      <c r="K39" s="29"/>
      <c r="O39" t="s">
        <v>164</v>
      </c>
      <c r="P39" t="s">
        <v>196</v>
      </c>
      <c r="Q39" t="s">
        <v>197</v>
      </c>
    </row>
    <row r="40" spans="1:17" ht="15">
      <c r="A40" s="27"/>
      <c r="B40" s="28"/>
      <c r="C40" s="28"/>
      <c r="D40" s="28"/>
      <c r="E40" s="28"/>
      <c r="F40" s="28"/>
      <c r="G40" s="28"/>
      <c r="H40" s="28"/>
      <c r="I40" s="28"/>
      <c r="J40" s="28"/>
      <c r="K40" s="29"/>
      <c r="M40" t="s">
        <v>77</v>
      </c>
      <c r="N40">
        <v>1</v>
      </c>
      <c r="O40">
        <v>28</v>
      </c>
      <c r="P40">
        <v>32</v>
      </c>
      <c r="Q40">
        <v>2</v>
      </c>
    </row>
    <row r="41" spans="1:17" ht="15">
      <c r="A41" s="27"/>
      <c r="B41" s="28" t="s">
        <v>161</v>
      </c>
      <c r="C41" s="28"/>
      <c r="D41" s="28"/>
      <c r="E41" s="28"/>
      <c r="F41" s="28"/>
      <c r="G41" s="28"/>
      <c r="H41" s="28"/>
      <c r="I41" s="28"/>
      <c r="J41" s="28"/>
      <c r="K41" s="29"/>
      <c r="M41" t="s">
        <v>160</v>
      </c>
      <c r="N41">
        <v>2</v>
      </c>
      <c r="O41">
        <v>36</v>
      </c>
      <c r="P41">
        <v>40</v>
      </c>
      <c r="Q41">
        <v>2</v>
      </c>
    </row>
    <row r="42" spans="1:17" ht="15.75" thickBot="1">
      <c r="A42" s="27"/>
      <c r="B42" s="28"/>
      <c r="C42" s="28"/>
      <c r="D42" s="28"/>
      <c r="E42" s="28"/>
      <c r="F42" s="28"/>
      <c r="G42" s="28"/>
      <c r="H42" s="28"/>
      <c r="I42" s="28"/>
      <c r="J42" s="28"/>
      <c r="K42" s="29"/>
      <c r="M42" t="s">
        <v>150</v>
      </c>
      <c r="N42">
        <v>3</v>
      </c>
      <c r="O42">
        <v>45.2</v>
      </c>
      <c r="P42">
        <v>50</v>
      </c>
      <c r="Q42">
        <v>2.4</v>
      </c>
    </row>
    <row r="43" spans="1:17" ht="16.5" thickBot="1">
      <c r="A43" s="27"/>
      <c r="B43" s="28" t="s">
        <v>193</v>
      </c>
      <c r="C43" s="28"/>
      <c r="D43" s="28"/>
      <c r="E43" s="22">
        <f>ROUND(7.89*10^7*F24^1.75/M54^4.75,1)</f>
        <v>1.3</v>
      </c>
      <c r="F43" s="28" t="s">
        <v>52</v>
      </c>
      <c r="G43" s="28"/>
      <c r="H43" s="28"/>
      <c r="I43" s="28"/>
      <c r="J43" s="28"/>
      <c r="K43" s="29"/>
      <c r="M43" t="s">
        <v>151</v>
      </c>
      <c r="N43">
        <v>4</v>
      </c>
      <c r="O43">
        <v>57</v>
      </c>
      <c r="P43">
        <v>63</v>
      </c>
      <c r="Q43">
        <v>3</v>
      </c>
    </row>
    <row r="44" spans="1:17" ht="15.75" thickBot="1">
      <c r="A44" s="27"/>
      <c r="B44" s="28"/>
      <c r="C44" s="28"/>
      <c r="D44" s="28"/>
      <c r="E44" s="28"/>
      <c r="F44" s="28"/>
      <c r="G44" s="28"/>
      <c r="H44" s="28"/>
      <c r="I44" s="28"/>
      <c r="J44" s="28"/>
      <c r="K44" s="29"/>
      <c r="M44" t="s">
        <v>152</v>
      </c>
      <c r="N44">
        <v>5</v>
      </c>
      <c r="O44">
        <v>67.8</v>
      </c>
      <c r="P44">
        <v>75</v>
      </c>
      <c r="Q44">
        <v>3.6</v>
      </c>
    </row>
    <row r="45" spans="1:17" ht="16.5" thickBot="1">
      <c r="A45" s="27"/>
      <c r="B45" s="28" t="s">
        <v>148</v>
      </c>
      <c r="C45" s="28"/>
      <c r="D45" s="28"/>
      <c r="E45" s="22">
        <f>ROUND(E43*43.35/100,2)</f>
        <v>0.56</v>
      </c>
      <c r="F45" s="28" t="s">
        <v>188</v>
      </c>
      <c r="G45" s="28"/>
      <c r="H45" s="28"/>
      <c r="I45" s="28"/>
      <c r="J45" s="28"/>
      <c r="K45" s="29"/>
      <c r="M45" t="s">
        <v>153</v>
      </c>
      <c r="N45">
        <v>6</v>
      </c>
      <c r="O45">
        <v>81.4</v>
      </c>
      <c r="P45">
        <v>90</v>
      </c>
      <c r="Q45">
        <v>4.3</v>
      </c>
    </row>
    <row r="46" spans="1:17" ht="15.75" thickBot="1">
      <c r="A46" s="27"/>
      <c r="B46" s="28"/>
      <c r="C46" s="28"/>
      <c r="D46" s="28"/>
      <c r="E46" s="28"/>
      <c r="F46" s="28"/>
      <c r="G46" s="28"/>
      <c r="H46" s="28"/>
      <c r="I46" s="28"/>
      <c r="J46" s="28"/>
      <c r="K46" s="29"/>
      <c r="M46" t="s">
        <v>154</v>
      </c>
      <c r="N46">
        <v>7</v>
      </c>
      <c r="O46">
        <v>99.4</v>
      </c>
      <c r="P46">
        <v>110</v>
      </c>
      <c r="Q46">
        <v>5.3</v>
      </c>
    </row>
    <row r="47" spans="1:17" ht="15.75">
      <c r="A47" s="27"/>
      <c r="B47" s="28" t="s">
        <v>149</v>
      </c>
      <c r="C47" s="28"/>
      <c r="D47" s="16" t="str">
        <f>IF(E45&gt;1,"NO CUMPLE, PROPONER UN DIAMETRO MAYOR","SI CUMPLE PERO SI EXISTE UN DIAMETRO MENOR POSIBLE, PROPONERLO")</f>
        <v>SI CUMPLE PERO SI EXISTE UN DIAMETRO MENOR POSIBLE, PROPONERLO</v>
      </c>
      <c r="E47" s="17"/>
      <c r="F47" s="17"/>
      <c r="G47" s="17"/>
      <c r="H47" s="17"/>
      <c r="I47" s="17"/>
      <c r="J47" s="18"/>
      <c r="K47" s="29"/>
      <c r="M47" t="s">
        <v>155</v>
      </c>
      <c r="N47">
        <v>8</v>
      </c>
      <c r="O47">
        <v>113</v>
      </c>
      <c r="P47">
        <v>125</v>
      </c>
      <c r="Q47">
        <v>6</v>
      </c>
    </row>
    <row r="48" spans="1:17" ht="16.5" thickBot="1">
      <c r="A48" s="27"/>
      <c r="B48" s="28"/>
      <c r="C48" s="28"/>
      <c r="D48" s="19" t="str">
        <f>IF(E45&lt;1,"RECUERDE QUE EL COSTO DE LA TUBERIA ES MAYOR PARA DIAMETROS MAS GRANDES","")</f>
        <v>RECUERDE QUE EL COSTO DE LA TUBERIA ES MAYOR PARA DIAMETROS MAS GRANDES</v>
      </c>
      <c r="E48" s="20"/>
      <c r="F48" s="20"/>
      <c r="G48" s="20"/>
      <c r="H48" s="20"/>
      <c r="I48" s="20"/>
      <c r="J48" s="21"/>
      <c r="K48" s="29"/>
      <c r="M48" t="s">
        <v>156</v>
      </c>
      <c r="N48">
        <v>9</v>
      </c>
      <c r="O48">
        <v>126.6</v>
      </c>
      <c r="P48">
        <v>140</v>
      </c>
      <c r="Q48">
        <v>6.7</v>
      </c>
    </row>
    <row r="49" spans="1:17" ht="15.75">
      <c r="A49" s="27"/>
      <c r="B49" s="28"/>
      <c r="C49" s="28"/>
      <c r="D49" s="44"/>
      <c r="E49" s="44"/>
      <c r="F49" s="44"/>
      <c r="G49" s="44"/>
      <c r="H49" s="44"/>
      <c r="I49" s="44"/>
      <c r="J49" s="44"/>
      <c r="K49" s="29"/>
      <c r="M49" t="s">
        <v>157</v>
      </c>
      <c r="N49">
        <v>10</v>
      </c>
      <c r="O49">
        <v>144.6</v>
      </c>
      <c r="P49">
        <v>160</v>
      </c>
      <c r="Q49">
        <v>7.7</v>
      </c>
    </row>
    <row r="50" spans="1:17" ht="15.75">
      <c r="A50" s="27"/>
      <c r="B50" s="23" t="s">
        <v>202</v>
      </c>
      <c r="C50" s="28"/>
      <c r="D50" s="45"/>
      <c r="E50" s="28"/>
      <c r="F50" s="28"/>
      <c r="G50" s="28"/>
      <c r="H50" s="28"/>
      <c r="I50" s="28"/>
      <c r="J50" s="28"/>
      <c r="K50" s="29"/>
      <c r="M50" t="s">
        <v>158</v>
      </c>
      <c r="N50">
        <v>11</v>
      </c>
      <c r="O50">
        <v>162.8</v>
      </c>
      <c r="P50">
        <v>180</v>
      </c>
      <c r="Q50">
        <v>8.6</v>
      </c>
    </row>
    <row r="51" spans="1:17" ht="15.75">
      <c r="A51" s="27"/>
      <c r="B51" s="28" t="s">
        <v>198</v>
      </c>
      <c r="C51" s="28"/>
      <c r="D51" s="4">
        <f>VLOOKUP(M54,O40:Q51,2,FALSE)</f>
        <v>110</v>
      </c>
      <c r="E51" s="28" t="s">
        <v>201</v>
      </c>
      <c r="F51" s="28"/>
      <c r="G51" s="28"/>
      <c r="H51" s="28"/>
      <c r="I51" s="28"/>
      <c r="J51" s="28"/>
      <c r="K51" s="29"/>
      <c r="M51" t="s">
        <v>159</v>
      </c>
      <c r="N51">
        <v>12</v>
      </c>
      <c r="O51">
        <v>180.8</v>
      </c>
      <c r="P51">
        <v>200</v>
      </c>
      <c r="Q51">
        <v>9.6</v>
      </c>
    </row>
    <row r="52" spans="1:11" ht="15.75">
      <c r="A52" s="27"/>
      <c r="B52" s="28" t="s">
        <v>199</v>
      </c>
      <c r="C52" s="28"/>
      <c r="D52" s="4">
        <f>VLOOKUP(M54,O40:Q51,3,FALSE)</f>
        <v>5.3</v>
      </c>
      <c r="E52" s="28" t="s">
        <v>201</v>
      </c>
      <c r="F52" s="28"/>
      <c r="G52" s="28"/>
      <c r="H52" s="28"/>
      <c r="I52" s="28"/>
      <c r="J52" s="28"/>
      <c r="K52" s="29"/>
    </row>
    <row r="53" spans="1:13" ht="15.75">
      <c r="A53" s="27"/>
      <c r="B53" s="28" t="s">
        <v>200</v>
      </c>
      <c r="C53" s="28"/>
      <c r="D53" s="4">
        <f>M54</f>
        <v>99.4</v>
      </c>
      <c r="E53" s="28" t="s">
        <v>201</v>
      </c>
      <c r="F53" s="28"/>
      <c r="G53" s="28"/>
      <c r="H53" s="28"/>
      <c r="I53" s="28"/>
      <c r="J53" s="28"/>
      <c r="K53" s="29"/>
      <c r="M53" s="1">
        <v>7</v>
      </c>
    </row>
    <row r="54" spans="1:13" ht="15">
      <c r="A54" s="27"/>
      <c r="B54" s="28"/>
      <c r="C54" s="28"/>
      <c r="D54" s="28"/>
      <c r="E54" s="28"/>
      <c r="F54" s="28"/>
      <c r="G54" s="28"/>
      <c r="H54" s="28"/>
      <c r="I54" s="28"/>
      <c r="J54" s="28"/>
      <c r="K54" s="29"/>
      <c r="M54" s="1">
        <f>VLOOKUP(M53,N40:O51,2,FALSE)</f>
        <v>99.4</v>
      </c>
    </row>
    <row r="55" spans="1:11" ht="15">
      <c r="A55" s="27"/>
      <c r="B55" s="28"/>
      <c r="C55" s="28"/>
      <c r="D55" s="28"/>
      <c r="E55" s="28"/>
      <c r="F55" s="28"/>
      <c r="G55" s="28"/>
      <c r="H55" s="28"/>
      <c r="I55" s="28"/>
      <c r="J55" s="28"/>
      <c r="K55" s="29"/>
    </row>
    <row r="56" spans="1:11" ht="18">
      <c r="A56" s="27" t="s">
        <v>186</v>
      </c>
      <c r="B56" s="28"/>
      <c r="C56" s="28"/>
      <c r="D56" s="28"/>
      <c r="E56" s="28"/>
      <c r="F56" s="28"/>
      <c r="G56" s="28" t="s">
        <v>187</v>
      </c>
      <c r="H56" s="28"/>
      <c r="I56" s="28"/>
      <c r="J56" s="28"/>
      <c r="K56" s="29"/>
    </row>
    <row r="57" spans="1:11" ht="15">
      <c r="A57" s="27"/>
      <c r="B57" s="28"/>
      <c r="C57" s="28"/>
      <c r="D57" s="28"/>
      <c r="E57" s="28"/>
      <c r="F57" s="28"/>
      <c r="G57" s="28"/>
      <c r="H57" s="28"/>
      <c r="I57" s="28"/>
      <c r="J57" s="28"/>
      <c r="K57" s="29"/>
    </row>
    <row r="58" spans="1:11" ht="15">
      <c r="A58" s="27"/>
      <c r="B58" s="28" t="s">
        <v>161</v>
      </c>
      <c r="C58" s="28"/>
      <c r="D58" s="28"/>
      <c r="E58" s="28"/>
      <c r="F58" s="28"/>
      <c r="G58" s="28"/>
      <c r="H58" s="28"/>
      <c r="I58" s="28"/>
      <c r="J58" s="28"/>
      <c r="K58" s="29"/>
    </row>
    <row r="59" spans="1:11" ht="15.75" thickBot="1">
      <c r="A59" s="27"/>
      <c r="B59" s="28"/>
      <c r="C59" s="28"/>
      <c r="D59" s="28"/>
      <c r="E59" s="28"/>
      <c r="F59" s="28"/>
      <c r="G59" s="28"/>
      <c r="H59" s="28"/>
      <c r="I59" s="28"/>
      <c r="J59" s="28"/>
      <c r="K59" s="29"/>
    </row>
    <row r="60" spans="1:11" ht="16.5" thickBot="1">
      <c r="A60" s="27"/>
      <c r="B60" s="28" t="s">
        <v>194</v>
      </c>
      <c r="C60" s="28"/>
      <c r="D60" s="28"/>
      <c r="E60" s="22">
        <f>ROUND(3157*F20^1.852*100/(150^1.852*M94^4.869),2)</f>
        <v>1.04</v>
      </c>
      <c r="F60" s="28" t="s">
        <v>52</v>
      </c>
      <c r="G60" s="28"/>
      <c r="H60" s="28"/>
      <c r="I60" s="28"/>
      <c r="J60" s="28"/>
      <c r="K60" s="29"/>
    </row>
    <row r="61" spans="1:15" ht="16.5" thickBot="1">
      <c r="A61" s="27"/>
      <c r="B61" s="28"/>
      <c r="C61" s="28"/>
      <c r="D61" s="28"/>
      <c r="E61" s="23"/>
      <c r="F61" s="28"/>
      <c r="G61" s="28"/>
      <c r="H61" s="28"/>
      <c r="I61" s="28"/>
      <c r="J61" s="28"/>
      <c r="K61" s="29"/>
      <c r="O61" s="15"/>
    </row>
    <row r="62" spans="1:15" ht="16.5" thickBot="1">
      <c r="A62" s="27"/>
      <c r="B62" s="28" t="s">
        <v>185</v>
      </c>
      <c r="C62" s="28"/>
      <c r="D62" s="28"/>
      <c r="E62" s="22">
        <f>ROUND(E60*43.35/100,2)</f>
        <v>0.45</v>
      </c>
      <c r="F62" s="28" t="s">
        <v>188</v>
      </c>
      <c r="G62" s="28"/>
      <c r="H62" s="28"/>
      <c r="I62" s="28"/>
      <c r="J62" s="28"/>
      <c r="K62" s="29"/>
      <c r="O62" s="15"/>
    </row>
    <row r="63" spans="1:15" ht="15.75">
      <c r="A63" s="27"/>
      <c r="B63" s="28"/>
      <c r="C63" s="28"/>
      <c r="D63" s="28"/>
      <c r="E63" s="23"/>
      <c r="F63" s="28"/>
      <c r="G63" s="28"/>
      <c r="H63" s="28"/>
      <c r="I63" s="28"/>
      <c r="J63" s="28"/>
      <c r="K63" s="29"/>
      <c r="O63" s="15" t="s">
        <v>164</v>
      </c>
    </row>
    <row r="64" spans="1:17" ht="15.75" thickBot="1">
      <c r="A64" s="27"/>
      <c r="B64" s="28"/>
      <c r="C64" s="28"/>
      <c r="D64" s="28"/>
      <c r="E64" s="28"/>
      <c r="F64" s="28"/>
      <c r="G64" s="28"/>
      <c r="H64" s="28"/>
      <c r="I64" s="28"/>
      <c r="J64" s="28"/>
      <c r="K64" s="29"/>
      <c r="M64" t="s">
        <v>189</v>
      </c>
      <c r="N64">
        <v>1</v>
      </c>
      <c r="O64">
        <v>47</v>
      </c>
      <c r="P64">
        <v>50</v>
      </c>
      <c r="Q64">
        <v>1.5</v>
      </c>
    </row>
    <row r="65" spans="1:17" ht="15.75">
      <c r="A65" s="27"/>
      <c r="B65" s="28" t="s">
        <v>149</v>
      </c>
      <c r="C65" s="28"/>
      <c r="D65" s="16" t="str">
        <f>IF(E62&gt;1,"NO CUMPLE, PROPONER UN DIAMETRO MAYOR","SI CUMPLE, PERO SI EXISTE UN DIAMETRO MENOR POSIBLE, PROPONERLO")</f>
        <v>SI CUMPLE, PERO SI EXISTE UN DIAMETRO MENOR POSIBLE, PROPONERLO</v>
      </c>
      <c r="E65" s="33"/>
      <c r="F65" s="33"/>
      <c r="G65" s="33"/>
      <c r="H65" s="33"/>
      <c r="I65" s="33"/>
      <c r="J65" s="34"/>
      <c r="K65" s="29"/>
      <c r="M65" t="s">
        <v>190</v>
      </c>
      <c r="N65">
        <v>2</v>
      </c>
      <c r="O65">
        <v>59.2</v>
      </c>
      <c r="P65">
        <v>63</v>
      </c>
      <c r="Q65">
        <v>1.9</v>
      </c>
    </row>
    <row r="66" spans="1:17" ht="16.5" thickBot="1">
      <c r="A66" s="27"/>
      <c r="B66" s="28"/>
      <c r="C66" s="28"/>
      <c r="D66" s="19" t="str">
        <f>IF(E62&lt;1,"RECUERDE QUE EL COSTO DE LA TUBERIA ES MAYOR PARA DIAMETROS MAS GRANDES","")</f>
        <v>RECUERDE QUE EL COSTO DE LA TUBERIA ES MAYOR PARA DIAMETROS MAS GRANDES</v>
      </c>
      <c r="E66" s="35"/>
      <c r="F66" s="35"/>
      <c r="G66" s="35"/>
      <c r="H66" s="35"/>
      <c r="I66" s="35"/>
      <c r="J66" s="36"/>
      <c r="K66" s="29"/>
      <c r="M66" t="s">
        <v>191</v>
      </c>
      <c r="N66">
        <v>3</v>
      </c>
      <c r="O66">
        <v>70.6</v>
      </c>
      <c r="P66">
        <v>75</v>
      </c>
      <c r="Q66">
        <v>2.2</v>
      </c>
    </row>
    <row r="67" spans="1:17" ht="15">
      <c r="A67" s="27"/>
      <c r="B67" s="28"/>
      <c r="C67" s="28"/>
      <c r="D67" s="28"/>
      <c r="E67" s="28"/>
      <c r="F67" s="28"/>
      <c r="G67" s="28"/>
      <c r="H67" s="28"/>
      <c r="I67" s="28"/>
      <c r="J67" s="28"/>
      <c r="K67" s="29"/>
      <c r="M67" t="s">
        <v>192</v>
      </c>
      <c r="N67">
        <v>4</v>
      </c>
      <c r="O67">
        <v>84.6</v>
      </c>
      <c r="P67">
        <v>90</v>
      </c>
      <c r="Q67">
        <v>2.7</v>
      </c>
    </row>
    <row r="68" spans="1:17" ht="15">
      <c r="A68" s="27"/>
      <c r="B68" s="28" t="s">
        <v>203</v>
      </c>
      <c r="C68" s="28"/>
      <c r="D68" s="28"/>
      <c r="E68" s="28"/>
      <c r="F68" s="28"/>
      <c r="G68" s="28"/>
      <c r="H68" s="28"/>
      <c r="I68" s="28"/>
      <c r="J68" s="28"/>
      <c r="K68" s="29"/>
      <c r="M68" t="s">
        <v>165</v>
      </c>
      <c r="N68">
        <v>5</v>
      </c>
      <c r="O68">
        <v>104.6</v>
      </c>
      <c r="P68">
        <v>110</v>
      </c>
      <c r="Q68">
        <v>2.7</v>
      </c>
    </row>
    <row r="69" spans="1:17" ht="15">
      <c r="A69" s="46"/>
      <c r="B69" s="28"/>
      <c r="C69" s="28"/>
      <c r="D69" s="28"/>
      <c r="E69" s="28"/>
      <c r="F69" s="28"/>
      <c r="G69" s="28"/>
      <c r="H69" s="28"/>
      <c r="I69" s="28"/>
      <c r="J69" s="28"/>
      <c r="K69" s="47"/>
      <c r="M69" t="s">
        <v>166</v>
      </c>
      <c r="N69">
        <v>6</v>
      </c>
      <c r="O69">
        <v>118.8</v>
      </c>
      <c r="P69">
        <v>125</v>
      </c>
      <c r="Q69">
        <v>3.1</v>
      </c>
    </row>
    <row r="70" spans="1:17" ht="15.75">
      <c r="A70" s="46"/>
      <c r="B70" s="28" t="s">
        <v>198</v>
      </c>
      <c r="C70" s="28"/>
      <c r="D70" s="4">
        <f>VLOOKUP(M94,O64:Q87,2,FALSE)</f>
        <v>110</v>
      </c>
      <c r="E70" s="28" t="s">
        <v>201</v>
      </c>
      <c r="F70" s="28"/>
      <c r="G70" s="28"/>
      <c r="H70" s="28"/>
      <c r="I70" s="28"/>
      <c r="J70" s="28"/>
      <c r="K70" s="47"/>
      <c r="M70" t="s">
        <v>167</v>
      </c>
      <c r="N70">
        <v>7</v>
      </c>
      <c r="O70">
        <v>133</v>
      </c>
      <c r="P70">
        <v>140</v>
      </c>
      <c r="Q70">
        <v>3.5</v>
      </c>
    </row>
    <row r="71" spans="1:17" ht="15.75">
      <c r="A71" s="46"/>
      <c r="B71" s="28" t="s">
        <v>199</v>
      </c>
      <c r="C71" s="28"/>
      <c r="D71" s="4">
        <f>VLOOKUP(M94,O64:Q87,3,FALSE)</f>
        <v>2.7</v>
      </c>
      <c r="E71" s="28" t="s">
        <v>201</v>
      </c>
      <c r="F71" s="28"/>
      <c r="G71" s="28"/>
      <c r="H71" s="28"/>
      <c r="I71" s="28"/>
      <c r="J71" s="28"/>
      <c r="K71" s="47"/>
      <c r="M71" t="s">
        <v>168</v>
      </c>
      <c r="N71">
        <v>8</v>
      </c>
      <c r="O71">
        <v>152</v>
      </c>
      <c r="P71">
        <v>160</v>
      </c>
      <c r="Q71">
        <v>4</v>
      </c>
    </row>
    <row r="72" spans="1:17" ht="15.75">
      <c r="A72" s="46"/>
      <c r="B72" s="28" t="s">
        <v>200</v>
      </c>
      <c r="C72" s="28"/>
      <c r="D72" s="4">
        <f>M94</f>
        <v>104.6</v>
      </c>
      <c r="E72" s="28" t="s">
        <v>201</v>
      </c>
      <c r="F72" s="28"/>
      <c r="G72" s="28"/>
      <c r="H72" s="28"/>
      <c r="I72" s="28"/>
      <c r="J72" s="28"/>
      <c r="K72" s="47"/>
      <c r="M72" t="s">
        <v>169</v>
      </c>
      <c r="N72">
        <v>9</v>
      </c>
      <c r="O72">
        <v>171.2</v>
      </c>
      <c r="P72">
        <v>180</v>
      </c>
      <c r="Q72">
        <v>4.4</v>
      </c>
    </row>
    <row r="73" spans="1:17" ht="15">
      <c r="A73" s="30"/>
      <c r="B73" s="31"/>
      <c r="C73" s="31"/>
      <c r="D73" s="31"/>
      <c r="E73" s="31"/>
      <c r="F73" s="31"/>
      <c r="G73" s="31"/>
      <c r="H73" s="31"/>
      <c r="I73" s="31"/>
      <c r="J73" s="31"/>
      <c r="K73" s="32"/>
      <c r="M73" t="s">
        <v>170</v>
      </c>
      <c r="N73">
        <v>10</v>
      </c>
      <c r="O73">
        <v>190.2</v>
      </c>
      <c r="P73">
        <v>200</v>
      </c>
      <c r="Q73">
        <v>4.9</v>
      </c>
    </row>
    <row r="74" spans="13:17" ht="15">
      <c r="M74" t="s">
        <v>171</v>
      </c>
      <c r="N74">
        <v>11</v>
      </c>
      <c r="O74">
        <v>214</v>
      </c>
      <c r="P74">
        <v>225</v>
      </c>
      <c r="Q74">
        <v>5.5</v>
      </c>
    </row>
    <row r="75" spans="13:17" ht="15">
      <c r="M75" t="s">
        <v>172</v>
      </c>
      <c r="N75">
        <v>12</v>
      </c>
      <c r="O75">
        <v>237.6</v>
      </c>
      <c r="P75">
        <v>250</v>
      </c>
      <c r="Q75">
        <v>6.2</v>
      </c>
    </row>
    <row r="76" spans="13:17" ht="15">
      <c r="M76" t="s">
        <v>173</v>
      </c>
      <c r="N76">
        <v>13</v>
      </c>
      <c r="O76">
        <v>266.2</v>
      </c>
      <c r="P76">
        <v>280</v>
      </c>
      <c r="Q76">
        <v>6.9</v>
      </c>
    </row>
    <row r="77" spans="13:17" ht="15">
      <c r="M77" t="s">
        <v>174</v>
      </c>
      <c r="N77">
        <v>14</v>
      </c>
      <c r="O77">
        <v>299.6</v>
      </c>
      <c r="P77">
        <v>315</v>
      </c>
      <c r="Q77">
        <v>7.7</v>
      </c>
    </row>
    <row r="78" spans="13:17" ht="15">
      <c r="M78" t="s">
        <v>175</v>
      </c>
      <c r="N78">
        <v>15</v>
      </c>
      <c r="O78">
        <v>337.6</v>
      </c>
      <c r="P78">
        <v>355</v>
      </c>
      <c r="Q78">
        <v>8.7</v>
      </c>
    </row>
    <row r="79" spans="13:17" ht="15">
      <c r="M79" t="s">
        <v>176</v>
      </c>
      <c r="N79">
        <v>16</v>
      </c>
      <c r="O79">
        <v>380.4</v>
      </c>
      <c r="P79">
        <v>400</v>
      </c>
      <c r="Q79">
        <v>9.8</v>
      </c>
    </row>
    <row r="80" spans="13:17" ht="15">
      <c r="M80" t="s">
        <v>177</v>
      </c>
      <c r="N80">
        <v>17</v>
      </c>
      <c r="O80">
        <v>428</v>
      </c>
      <c r="P80">
        <v>450</v>
      </c>
      <c r="Q80">
        <v>11</v>
      </c>
    </row>
    <row r="81" spans="13:17" ht="15">
      <c r="M81" t="s">
        <v>178</v>
      </c>
      <c r="N81">
        <v>18</v>
      </c>
      <c r="O81">
        <v>475.4</v>
      </c>
      <c r="P81">
        <v>500</v>
      </c>
      <c r="Q81">
        <v>12.3</v>
      </c>
    </row>
    <row r="82" spans="13:17" ht="15">
      <c r="M82" t="s">
        <v>179</v>
      </c>
      <c r="N82">
        <v>19</v>
      </c>
      <c r="O82">
        <v>532.6</v>
      </c>
      <c r="P82">
        <v>560</v>
      </c>
      <c r="Q82">
        <v>13.7</v>
      </c>
    </row>
    <row r="83" spans="13:17" ht="15">
      <c r="M83" t="s">
        <v>180</v>
      </c>
      <c r="N83">
        <v>20</v>
      </c>
      <c r="O83">
        <v>599.2</v>
      </c>
      <c r="P83">
        <v>630</v>
      </c>
      <c r="Q83">
        <v>15.4</v>
      </c>
    </row>
    <row r="84" spans="13:17" ht="15">
      <c r="M84" t="s">
        <v>181</v>
      </c>
      <c r="N84">
        <v>21</v>
      </c>
      <c r="O84">
        <v>675.2</v>
      </c>
      <c r="P84">
        <v>710</v>
      </c>
      <c r="Q84">
        <v>17.4</v>
      </c>
    </row>
    <row r="85" spans="13:17" ht="15">
      <c r="M85" t="s">
        <v>182</v>
      </c>
      <c r="N85">
        <v>22</v>
      </c>
      <c r="O85">
        <v>760.8</v>
      </c>
      <c r="P85">
        <v>800</v>
      </c>
      <c r="Q85">
        <v>19.6</v>
      </c>
    </row>
    <row r="86" spans="13:17" ht="15">
      <c r="M86" t="s">
        <v>183</v>
      </c>
      <c r="N86">
        <v>23</v>
      </c>
      <c r="O86">
        <v>856</v>
      </c>
      <c r="P86">
        <v>900</v>
      </c>
      <c r="Q86">
        <v>22</v>
      </c>
    </row>
    <row r="87" spans="13:17" ht="15">
      <c r="M87" t="s">
        <v>184</v>
      </c>
      <c r="N87">
        <v>24</v>
      </c>
      <c r="O87">
        <v>951</v>
      </c>
      <c r="P87">
        <v>1000</v>
      </c>
      <c r="Q87">
        <v>24.5</v>
      </c>
    </row>
    <row r="93" ht="15">
      <c r="M93" s="1">
        <v>5</v>
      </c>
    </row>
    <row r="94" ht="15">
      <c r="M94" s="1">
        <f>VLOOKUP(M93,N64:O87,2,FALSE)</f>
        <v>104.6</v>
      </c>
    </row>
  </sheetData>
  <sheetProtection/>
  <mergeCells count="1">
    <mergeCell ref="A2:K2"/>
  </mergeCells>
  <printOptions/>
  <pageMargins left="0.7" right="0.7" top="0.75" bottom="0.75" header="0.3" footer="0.3"/>
  <pageSetup horizontalDpi="600" verticalDpi="600" orientation="portrait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T115"/>
  <sheetViews>
    <sheetView tabSelected="1" zoomScalePageLayoutView="0" workbookViewId="0" topLeftCell="A1">
      <selection activeCell="E20" sqref="E20"/>
    </sheetView>
  </sheetViews>
  <sheetFormatPr defaultColWidth="11.5546875" defaultRowHeight="15"/>
  <cols>
    <col min="1" max="1" width="11.77734375" style="0" bestFit="1" customWidth="1"/>
    <col min="5" max="5" width="13.3359375" style="0" customWidth="1"/>
    <col min="6" max="6" width="13.5546875" style="0" customWidth="1"/>
    <col min="15" max="15" width="11.77734375" style="0" bestFit="1" customWidth="1"/>
  </cols>
  <sheetData>
    <row r="1" ht="9" customHeight="1" thickBot="1"/>
    <row r="2" spans="1:12" ht="15.75">
      <c r="A2" s="63" t="s">
        <v>204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5"/>
    </row>
    <row r="3" spans="1:12" ht="15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</row>
    <row r="4" spans="1:12" ht="15">
      <c r="A4" s="66" t="s">
        <v>205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71"/>
    </row>
    <row r="5" spans="1:12" ht="15">
      <c r="A5" s="66" t="s">
        <v>206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71"/>
    </row>
    <row r="6" spans="1:12" ht="15.75" thickBot="1">
      <c r="A6" s="46"/>
      <c r="B6" s="28"/>
      <c r="C6" s="28"/>
      <c r="D6" s="28"/>
      <c r="E6" s="28"/>
      <c r="F6" s="28"/>
      <c r="G6" s="28"/>
      <c r="H6" s="28"/>
      <c r="I6" s="28"/>
      <c r="J6" s="28"/>
      <c r="K6" s="28"/>
      <c r="L6" s="47"/>
    </row>
    <row r="7" spans="1:20" ht="16.5" thickBot="1">
      <c r="A7" s="46"/>
      <c r="B7" s="28"/>
      <c r="C7" s="28"/>
      <c r="D7" s="28"/>
      <c r="E7" s="28"/>
      <c r="F7" s="28"/>
      <c r="G7" s="28"/>
      <c r="H7" s="28"/>
      <c r="I7" s="28"/>
      <c r="J7" s="28"/>
      <c r="K7" s="28"/>
      <c r="L7" s="47"/>
      <c r="O7" s="81"/>
      <c r="P7" s="82" t="s">
        <v>216</v>
      </c>
      <c r="Q7" s="82"/>
      <c r="R7" s="82"/>
      <c r="S7" s="82"/>
      <c r="T7" s="83"/>
    </row>
    <row r="8" spans="1:20" ht="16.5" thickBot="1">
      <c r="A8" s="66" t="s">
        <v>207</v>
      </c>
      <c r="B8" s="67"/>
      <c r="C8" s="67"/>
      <c r="D8" s="67"/>
      <c r="E8" s="67"/>
      <c r="F8" s="68"/>
      <c r="G8" s="38">
        <v>2</v>
      </c>
      <c r="H8" s="28"/>
      <c r="I8" s="28"/>
      <c r="J8" s="28"/>
      <c r="K8" s="28"/>
      <c r="L8" s="47"/>
      <c r="O8" s="84"/>
      <c r="P8" s="85" t="s">
        <v>215</v>
      </c>
      <c r="Q8" s="85">
        <v>1</v>
      </c>
      <c r="R8" s="85"/>
      <c r="S8" s="85"/>
      <c r="T8" s="86"/>
    </row>
    <row r="9" spans="1:20" ht="15">
      <c r="A9" s="46"/>
      <c r="B9" s="28"/>
      <c r="C9" s="28"/>
      <c r="D9" s="28"/>
      <c r="E9" s="28"/>
      <c r="F9" s="28"/>
      <c r="G9" s="28"/>
      <c r="H9" s="28"/>
      <c r="I9" s="28"/>
      <c r="J9" s="28"/>
      <c r="K9" s="28"/>
      <c r="L9" s="47"/>
      <c r="N9">
        <f>VLOOKUP(O9,Q8:T32,2,FALSE)</f>
        <v>84.6</v>
      </c>
      <c r="O9" s="84">
        <v>5</v>
      </c>
      <c r="P9" s="85" t="s">
        <v>189</v>
      </c>
      <c r="Q9" s="85">
        <v>2</v>
      </c>
      <c r="R9" s="85">
        <v>47</v>
      </c>
      <c r="S9" s="85">
        <v>50</v>
      </c>
      <c r="T9" s="86">
        <v>1.5</v>
      </c>
    </row>
    <row r="10" spans="1:20" ht="15">
      <c r="A10" s="51" t="s">
        <v>208</v>
      </c>
      <c r="B10" s="51" t="s">
        <v>139</v>
      </c>
      <c r="C10" s="51" t="s">
        <v>209</v>
      </c>
      <c r="D10" s="51" t="s">
        <v>213</v>
      </c>
      <c r="E10" s="69" t="s">
        <v>164</v>
      </c>
      <c r="F10" s="70"/>
      <c r="G10" s="93" t="s">
        <v>218</v>
      </c>
      <c r="H10" s="94"/>
      <c r="I10" s="48"/>
      <c r="J10" s="48"/>
      <c r="K10" s="48"/>
      <c r="L10" s="48"/>
      <c r="N10">
        <f>VLOOKUP(O10,Q8:T32,2,FALSE)</f>
        <v>84.6</v>
      </c>
      <c r="O10" s="84">
        <v>5</v>
      </c>
      <c r="P10" s="85" t="s">
        <v>190</v>
      </c>
      <c r="Q10" s="85">
        <v>3</v>
      </c>
      <c r="R10" s="85">
        <v>59.2</v>
      </c>
      <c r="S10" s="85">
        <v>63</v>
      </c>
      <c r="T10" s="86">
        <v>1.9</v>
      </c>
    </row>
    <row r="11" spans="1:20" ht="13.5" customHeight="1">
      <c r="A11" s="52"/>
      <c r="B11" s="52" t="s">
        <v>212</v>
      </c>
      <c r="C11" s="52"/>
      <c r="D11" s="52" t="s">
        <v>214</v>
      </c>
      <c r="E11" s="49" t="s">
        <v>210</v>
      </c>
      <c r="F11" s="49" t="s">
        <v>211</v>
      </c>
      <c r="G11" s="49" t="s">
        <v>210</v>
      </c>
      <c r="H11" s="49" t="s">
        <v>211</v>
      </c>
      <c r="I11" s="48"/>
      <c r="J11" s="48"/>
      <c r="K11" s="48"/>
      <c r="L11" s="48"/>
      <c r="N11">
        <f>VLOOKUP(O11,Q8:T32,2,FALSE)</f>
        <v>0</v>
      </c>
      <c r="O11" s="84">
        <v>1</v>
      </c>
      <c r="P11" s="85" t="s">
        <v>191</v>
      </c>
      <c r="Q11" s="85">
        <v>4</v>
      </c>
      <c r="R11" s="85">
        <v>70.6</v>
      </c>
      <c r="S11" s="85">
        <v>75</v>
      </c>
      <c r="T11" s="86">
        <v>2.2</v>
      </c>
    </row>
    <row r="12" spans="1:20" ht="21.75" customHeight="1">
      <c r="A12" s="48">
        <v>1</v>
      </c>
      <c r="B12" s="48">
        <f>'TUBERIA SECUNDARIA'!F6</f>
        <v>4</v>
      </c>
      <c r="C12" s="50">
        <v>50</v>
      </c>
      <c r="D12" s="48">
        <f>ROUND((B12*'TUBERIA SECUNDARIA'!F18)/3600,3)</f>
        <v>18.667</v>
      </c>
      <c r="E12" s="48"/>
      <c r="F12" s="48"/>
      <c r="G12" s="48">
        <f>IF(O9&lt;&gt;1,VLOOKUP(O9,Q9:T32,2,FALSE),"")</f>
        <v>84.6</v>
      </c>
      <c r="H12" s="48"/>
      <c r="I12" s="48"/>
      <c r="J12" s="48"/>
      <c r="K12" s="48"/>
      <c r="L12" s="48"/>
      <c r="N12">
        <f>VLOOKUP(O12,Q8:T32,2,FALSE)</f>
        <v>0</v>
      </c>
      <c r="O12" s="84">
        <v>1</v>
      </c>
      <c r="P12" s="85" t="s">
        <v>192</v>
      </c>
      <c r="Q12" s="85">
        <v>5</v>
      </c>
      <c r="R12" s="85">
        <v>84.6</v>
      </c>
      <c r="S12" s="85">
        <v>90</v>
      </c>
      <c r="T12" s="86">
        <v>2.7</v>
      </c>
    </row>
    <row r="13" spans="1:20" ht="21.75" customHeight="1">
      <c r="A13" s="48">
        <f>IF(A12=$G$8,"",IF(A12="","",A12+1))</f>
        <v>2</v>
      </c>
      <c r="B13" s="48">
        <f>B12/2</f>
        <v>2</v>
      </c>
      <c r="C13" s="50">
        <v>100</v>
      </c>
      <c r="D13" s="48">
        <f>ROUND((B13*'TUBERIA SECUNDARIA'!F18)/3600,3)</f>
        <v>9.333</v>
      </c>
      <c r="E13" s="48"/>
      <c r="F13" s="48"/>
      <c r="G13" s="48"/>
      <c r="H13" s="48"/>
      <c r="I13" s="48"/>
      <c r="J13" s="48"/>
      <c r="K13" s="48"/>
      <c r="L13" s="48"/>
      <c r="N13">
        <f>VLOOKUP(O13,Q8:T32,2,FALSE)</f>
        <v>0</v>
      </c>
      <c r="O13" s="84">
        <v>1</v>
      </c>
      <c r="P13" s="85" t="s">
        <v>165</v>
      </c>
      <c r="Q13" s="85">
        <v>6</v>
      </c>
      <c r="R13" s="85">
        <v>104.6</v>
      </c>
      <c r="S13" s="85">
        <v>110</v>
      </c>
      <c r="T13" s="86">
        <v>2.7</v>
      </c>
    </row>
    <row r="14" spans="1:20" ht="20.25" customHeight="1">
      <c r="A14" s="48">
        <f>IF(A13=$G$8,"",IF(A13="","",A13+1))</f>
      </c>
      <c r="B14" s="48"/>
      <c r="C14" s="50"/>
      <c r="D14" s="48">
        <f>IF(B14="","",B14*'TUBERIA SECUNDARIA'!F18)</f>
      </c>
      <c r="E14" s="48"/>
      <c r="F14" s="48"/>
      <c r="G14" s="48"/>
      <c r="H14" s="48"/>
      <c r="I14" s="48"/>
      <c r="J14" s="48"/>
      <c r="K14" s="48"/>
      <c r="L14" s="48"/>
      <c r="O14" s="84"/>
      <c r="P14" s="85" t="s">
        <v>166</v>
      </c>
      <c r="Q14" s="85">
        <v>7</v>
      </c>
      <c r="R14" s="85">
        <v>118.8</v>
      </c>
      <c r="S14" s="85">
        <v>125</v>
      </c>
      <c r="T14" s="86">
        <v>3.1</v>
      </c>
    </row>
    <row r="15" spans="1:20" ht="21.75" customHeight="1">
      <c r="A15" s="48">
        <f>IF(A14=$G$8,"",IF(A14="","",A14+1))</f>
      </c>
      <c r="B15" s="48">
        <f>IF(B14&lt;=2,"",_xlfn.IFERROR(B14/2,""))</f>
      </c>
      <c r="C15" s="50"/>
      <c r="D15" s="48">
        <f>IF(B15="","",B15*'TUBERIA SECUNDARIA'!F19)</f>
      </c>
      <c r="E15" s="48"/>
      <c r="F15" s="48"/>
      <c r="G15" s="48"/>
      <c r="H15" s="48"/>
      <c r="I15" s="48"/>
      <c r="J15" s="48"/>
      <c r="K15" s="48"/>
      <c r="L15" s="48"/>
      <c r="O15" s="84"/>
      <c r="P15" s="85" t="s">
        <v>167</v>
      </c>
      <c r="Q15" s="85">
        <v>8</v>
      </c>
      <c r="R15" s="85">
        <v>133</v>
      </c>
      <c r="S15" s="85">
        <v>140</v>
      </c>
      <c r="T15" s="86">
        <v>3.5</v>
      </c>
    </row>
    <row r="16" spans="1:20" ht="21" customHeight="1">
      <c r="A16" s="48">
        <f>IF(A15=$G$8,"",IF(A15="","",A15+1))</f>
      </c>
      <c r="B16" s="48">
        <f>IF(B15&lt;=2,"",_xlfn.IFERROR(B15/2,""))</f>
      </c>
      <c r="C16" s="50"/>
      <c r="D16" s="48">
        <f>IF(B16="","",B16*'TUBERIA SECUNDARIA'!F20)</f>
      </c>
      <c r="E16" s="48"/>
      <c r="F16" s="48"/>
      <c r="G16" s="48"/>
      <c r="H16" s="48"/>
      <c r="I16" s="48"/>
      <c r="J16" s="48"/>
      <c r="K16" s="48"/>
      <c r="L16" s="48"/>
      <c r="O16" s="84"/>
      <c r="P16" s="85" t="s">
        <v>168</v>
      </c>
      <c r="Q16" s="85">
        <v>9</v>
      </c>
      <c r="R16" s="85">
        <v>152</v>
      </c>
      <c r="S16" s="85">
        <v>160</v>
      </c>
      <c r="T16" s="86">
        <v>4</v>
      </c>
    </row>
    <row r="17" spans="1:20" ht="15">
      <c r="A17" s="46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47"/>
      <c r="O17" s="84"/>
      <c r="P17" s="85" t="s">
        <v>169</v>
      </c>
      <c r="Q17" s="85">
        <v>10</v>
      </c>
      <c r="R17" s="85">
        <v>171.2</v>
      </c>
      <c r="S17" s="85">
        <v>180</v>
      </c>
      <c r="T17" s="86">
        <v>4.4</v>
      </c>
    </row>
    <row r="18" spans="1:20" ht="15">
      <c r="A18" s="46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47"/>
      <c r="O18" s="84"/>
      <c r="P18" s="85" t="s">
        <v>170</v>
      </c>
      <c r="Q18" s="85">
        <v>11</v>
      </c>
      <c r="R18" s="85">
        <v>190.2</v>
      </c>
      <c r="S18" s="85">
        <v>200</v>
      </c>
      <c r="T18" s="86">
        <v>4.9</v>
      </c>
    </row>
    <row r="19" spans="1:20" ht="15">
      <c r="A19" s="46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47"/>
      <c r="O19" s="84"/>
      <c r="P19" s="85" t="s">
        <v>171</v>
      </c>
      <c r="Q19" s="85">
        <v>12</v>
      </c>
      <c r="R19" s="85">
        <v>214</v>
      </c>
      <c r="S19" s="85">
        <v>225</v>
      </c>
      <c r="T19" s="86">
        <v>5.5</v>
      </c>
    </row>
    <row r="20" spans="1:20" ht="15">
      <c r="A20" s="46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47"/>
      <c r="O20" s="84"/>
      <c r="P20" s="85" t="s">
        <v>172</v>
      </c>
      <c r="Q20" s="85">
        <v>13</v>
      </c>
      <c r="R20" s="85">
        <v>237.6</v>
      </c>
      <c r="S20" s="85">
        <v>250</v>
      </c>
      <c r="T20" s="86">
        <v>6.2</v>
      </c>
    </row>
    <row r="21" spans="1:20" ht="15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O21" s="84"/>
      <c r="P21" s="85" t="s">
        <v>173</v>
      </c>
      <c r="Q21" s="85">
        <v>14</v>
      </c>
      <c r="R21" s="85">
        <v>266.2</v>
      </c>
      <c r="S21" s="85">
        <v>280</v>
      </c>
      <c r="T21" s="86">
        <v>6.9</v>
      </c>
    </row>
    <row r="22" spans="1:20" ht="15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O22" s="84"/>
      <c r="P22" s="85" t="s">
        <v>174</v>
      </c>
      <c r="Q22" s="85">
        <v>15</v>
      </c>
      <c r="R22" s="85">
        <v>299.6</v>
      </c>
      <c r="S22" s="85">
        <v>315</v>
      </c>
      <c r="T22" s="86">
        <v>7.7</v>
      </c>
    </row>
    <row r="23" spans="1:20" ht="15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O23" s="84"/>
      <c r="P23" s="85" t="s">
        <v>175</v>
      </c>
      <c r="Q23" s="85">
        <v>16</v>
      </c>
      <c r="R23" s="85">
        <v>337.6</v>
      </c>
      <c r="S23" s="85">
        <v>355</v>
      </c>
      <c r="T23" s="86">
        <v>8.7</v>
      </c>
    </row>
    <row r="24" spans="1:20" ht="15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O24" s="84"/>
      <c r="P24" s="85" t="s">
        <v>176</v>
      </c>
      <c r="Q24" s="85">
        <v>17</v>
      </c>
      <c r="R24" s="85">
        <v>380.4</v>
      </c>
      <c r="S24" s="85">
        <v>400</v>
      </c>
      <c r="T24" s="86">
        <v>9.8</v>
      </c>
    </row>
    <row r="25" spans="1:20" ht="15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O25" s="84"/>
      <c r="P25" s="85" t="s">
        <v>177</v>
      </c>
      <c r="Q25" s="85">
        <v>18</v>
      </c>
      <c r="R25" s="85">
        <v>428</v>
      </c>
      <c r="S25" s="85">
        <v>450</v>
      </c>
      <c r="T25" s="86">
        <v>11</v>
      </c>
    </row>
    <row r="26" spans="1:20" ht="15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O26" s="84"/>
      <c r="P26" s="85" t="s">
        <v>178</v>
      </c>
      <c r="Q26" s="85">
        <v>19</v>
      </c>
      <c r="R26" s="85">
        <v>475.4</v>
      </c>
      <c r="S26" s="85">
        <v>500</v>
      </c>
      <c r="T26" s="86">
        <v>12.3</v>
      </c>
    </row>
    <row r="27" spans="1:20" ht="15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O27" s="84"/>
      <c r="P27" s="85" t="s">
        <v>179</v>
      </c>
      <c r="Q27" s="85">
        <v>20</v>
      </c>
      <c r="R27" s="85">
        <v>532.6</v>
      </c>
      <c r="S27" s="85">
        <v>560</v>
      </c>
      <c r="T27" s="86">
        <v>13.7</v>
      </c>
    </row>
    <row r="28" spans="1:20" ht="15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O28" s="84"/>
      <c r="P28" s="85" t="s">
        <v>180</v>
      </c>
      <c r="Q28" s="85">
        <v>21</v>
      </c>
      <c r="R28" s="85">
        <v>599.2</v>
      </c>
      <c r="S28" s="85">
        <v>630</v>
      </c>
      <c r="T28" s="86">
        <v>15.4</v>
      </c>
    </row>
    <row r="29" spans="1:20" ht="15.75">
      <c r="A29" s="73"/>
      <c r="B29" s="73"/>
      <c r="C29" s="73"/>
      <c r="D29" s="73"/>
      <c r="E29" s="73"/>
      <c r="F29" s="73"/>
      <c r="G29" s="74"/>
      <c r="H29" s="72"/>
      <c r="I29" s="72"/>
      <c r="J29" s="72"/>
      <c r="K29" s="72"/>
      <c r="L29" s="72"/>
      <c r="O29" s="84"/>
      <c r="P29" s="85" t="s">
        <v>181</v>
      </c>
      <c r="Q29" s="85">
        <v>22</v>
      </c>
      <c r="R29" s="85">
        <v>675.2</v>
      </c>
      <c r="S29" s="85">
        <v>710</v>
      </c>
      <c r="T29" s="86">
        <v>17.4</v>
      </c>
    </row>
    <row r="30" spans="1:20" ht="15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O30" s="84"/>
      <c r="P30" s="85" t="s">
        <v>182</v>
      </c>
      <c r="Q30" s="85">
        <v>23</v>
      </c>
      <c r="R30" s="85">
        <v>760.8</v>
      </c>
      <c r="S30" s="85">
        <v>800</v>
      </c>
      <c r="T30" s="86">
        <v>19.6</v>
      </c>
    </row>
    <row r="31" spans="1:20" ht="15.75">
      <c r="A31" s="73"/>
      <c r="B31" s="73"/>
      <c r="C31" s="73"/>
      <c r="D31" s="73"/>
      <c r="E31" s="73"/>
      <c r="F31" s="73"/>
      <c r="G31" s="74"/>
      <c r="H31" s="72"/>
      <c r="I31" s="72"/>
      <c r="J31" s="72"/>
      <c r="K31" s="72"/>
      <c r="L31" s="72"/>
      <c r="O31" s="84"/>
      <c r="P31" s="85" t="s">
        <v>183</v>
      </c>
      <c r="Q31" s="85">
        <v>24</v>
      </c>
      <c r="R31" s="85">
        <v>856</v>
      </c>
      <c r="S31" s="85">
        <v>900</v>
      </c>
      <c r="T31" s="86">
        <v>22</v>
      </c>
    </row>
    <row r="32" spans="1:20" ht="15.75" thickBot="1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O32" s="87"/>
      <c r="P32" s="88" t="s">
        <v>184</v>
      </c>
      <c r="Q32" s="88">
        <v>25</v>
      </c>
      <c r="R32" s="88">
        <v>951</v>
      </c>
      <c r="S32" s="88">
        <v>1000</v>
      </c>
      <c r="T32" s="89">
        <v>24.5</v>
      </c>
    </row>
    <row r="33" spans="1:12" ht="16.5" thickBot="1">
      <c r="A33" s="73"/>
      <c r="B33" s="73"/>
      <c r="C33" s="73"/>
      <c r="D33" s="73"/>
      <c r="E33" s="73"/>
      <c r="F33" s="73"/>
      <c r="G33" s="75"/>
      <c r="H33" s="72"/>
      <c r="I33" s="72"/>
      <c r="J33" s="72"/>
      <c r="K33" s="72"/>
      <c r="L33" s="72"/>
    </row>
    <row r="34" spans="1:20" ht="15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P34" s="90" t="s">
        <v>217</v>
      </c>
      <c r="Q34" s="91"/>
      <c r="R34" s="91"/>
      <c r="S34" s="91"/>
      <c r="T34" s="92"/>
    </row>
    <row r="35" spans="1:20" ht="15.75">
      <c r="A35" s="73"/>
      <c r="B35" s="73"/>
      <c r="C35" s="73"/>
      <c r="D35" s="73"/>
      <c r="E35" s="73"/>
      <c r="F35" s="73"/>
      <c r="G35" s="75"/>
      <c r="H35" s="72"/>
      <c r="I35" s="72"/>
      <c r="J35" s="72"/>
      <c r="K35" s="72"/>
      <c r="L35" s="72"/>
      <c r="P35" s="84"/>
      <c r="Q35" s="85"/>
      <c r="R35" s="85" t="s">
        <v>164</v>
      </c>
      <c r="S35" s="85" t="s">
        <v>196</v>
      </c>
      <c r="T35" s="86" t="s">
        <v>197</v>
      </c>
    </row>
    <row r="36" spans="1:20" ht="15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P36" s="84" t="s">
        <v>215</v>
      </c>
      <c r="Q36" s="85">
        <v>1</v>
      </c>
      <c r="R36" s="85"/>
      <c r="S36" s="85"/>
      <c r="T36" s="86"/>
    </row>
    <row r="37" spans="1:20" ht="15.75">
      <c r="A37" s="73"/>
      <c r="B37" s="73"/>
      <c r="C37" s="73"/>
      <c r="D37" s="73"/>
      <c r="E37" s="73"/>
      <c r="F37" s="73"/>
      <c r="G37" s="75"/>
      <c r="H37" s="72"/>
      <c r="I37" s="72"/>
      <c r="J37" s="72"/>
      <c r="K37" s="72"/>
      <c r="L37" s="72"/>
      <c r="P37" s="84" t="s">
        <v>77</v>
      </c>
      <c r="Q37" s="85">
        <v>2</v>
      </c>
      <c r="R37" s="85">
        <v>28</v>
      </c>
      <c r="S37" s="85">
        <v>32</v>
      </c>
      <c r="T37" s="86">
        <v>2</v>
      </c>
    </row>
    <row r="38" spans="1:20" ht="15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P38" s="84" t="s">
        <v>160</v>
      </c>
      <c r="Q38" s="85">
        <v>3</v>
      </c>
      <c r="R38" s="85">
        <v>36</v>
      </c>
      <c r="S38" s="85">
        <v>40</v>
      </c>
      <c r="T38" s="86">
        <v>2</v>
      </c>
    </row>
    <row r="39" spans="1:20" ht="15.75">
      <c r="A39" s="73"/>
      <c r="B39" s="73"/>
      <c r="C39" s="73"/>
      <c r="D39" s="73"/>
      <c r="E39" s="73"/>
      <c r="F39" s="73"/>
      <c r="G39" s="75"/>
      <c r="H39" s="72"/>
      <c r="I39" s="72"/>
      <c r="J39" s="72"/>
      <c r="K39" s="72"/>
      <c r="L39" s="72"/>
      <c r="P39" s="84" t="s">
        <v>150</v>
      </c>
      <c r="Q39" s="85">
        <v>4</v>
      </c>
      <c r="R39" s="85">
        <v>45.2</v>
      </c>
      <c r="S39" s="85">
        <v>50</v>
      </c>
      <c r="T39" s="86">
        <v>2.4</v>
      </c>
    </row>
    <row r="40" spans="1:20" ht="15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P40" s="84" t="s">
        <v>151</v>
      </c>
      <c r="Q40" s="85">
        <v>5</v>
      </c>
      <c r="R40" s="85">
        <v>57</v>
      </c>
      <c r="S40" s="85">
        <v>63</v>
      </c>
      <c r="T40" s="86">
        <v>3</v>
      </c>
    </row>
    <row r="41" spans="1:20" ht="15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P41" s="84" t="s">
        <v>152</v>
      </c>
      <c r="Q41" s="85">
        <v>6</v>
      </c>
      <c r="R41" s="85">
        <v>67.8</v>
      </c>
      <c r="S41" s="85">
        <v>75</v>
      </c>
      <c r="T41" s="86">
        <v>3.6</v>
      </c>
    </row>
    <row r="42" spans="1:20" ht="15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P42" s="84" t="s">
        <v>153</v>
      </c>
      <c r="Q42" s="85">
        <v>7</v>
      </c>
      <c r="R42" s="85">
        <v>81.4</v>
      </c>
      <c r="S42" s="85">
        <v>90</v>
      </c>
      <c r="T42" s="86">
        <v>4.3</v>
      </c>
    </row>
    <row r="43" spans="1:20" ht="15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P43" s="84" t="s">
        <v>154</v>
      </c>
      <c r="Q43" s="85">
        <v>8</v>
      </c>
      <c r="R43" s="85">
        <v>99.4</v>
      </c>
      <c r="S43" s="85">
        <v>110</v>
      </c>
      <c r="T43" s="86">
        <v>5.3</v>
      </c>
    </row>
    <row r="44" spans="1:20" ht="15.75">
      <c r="A44" s="72"/>
      <c r="B44" s="75"/>
      <c r="C44" s="75"/>
      <c r="D44" s="75"/>
      <c r="E44" s="72"/>
      <c r="F44" s="72"/>
      <c r="G44" s="72"/>
      <c r="H44" s="72"/>
      <c r="I44" s="72"/>
      <c r="J44" s="72"/>
      <c r="K44" s="72"/>
      <c r="L44" s="72"/>
      <c r="P44" s="84" t="s">
        <v>155</v>
      </c>
      <c r="Q44" s="85">
        <v>9</v>
      </c>
      <c r="R44" s="85">
        <v>113</v>
      </c>
      <c r="S44" s="85">
        <v>125</v>
      </c>
      <c r="T44" s="86">
        <v>6</v>
      </c>
    </row>
    <row r="45" spans="1:20" ht="15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P45" s="84" t="s">
        <v>156</v>
      </c>
      <c r="Q45" s="85">
        <v>10</v>
      </c>
      <c r="R45" s="85">
        <v>126.6</v>
      </c>
      <c r="S45" s="85">
        <v>140</v>
      </c>
      <c r="T45" s="86">
        <v>6.7</v>
      </c>
    </row>
    <row r="46" spans="1:20" ht="15.75">
      <c r="A46" s="72"/>
      <c r="B46" s="75"/>
      <c r="C46" s="75"/>
      <c r="D46" s="75"/>
      <c r="E46" s="72"/>
      <c r="F46" s="72"/>
      <c r="G46" s="72"/>
      <c r="H46" s="72"/>
      <c r="I46" s="72"/>
      <c r="J46" s="72"/>
      <c r="K46" s="72"/>
      <c r="L46" s="72"/>
      <c r="P46" s="84" t="s">
        <v>157</v>
      </c>
      <c r="Q46" s="85">
        <v>11</v>
      </c>
      <c r="R46" s="85">
        <v>144.6</v>
      </c>
      <c r="S46" s="85">
        <v>160</v>
      </c>
      <c r="T46" s="86">
        <v>7.7</v>
      </c>
    </row>
    <row r="47" spans="1:20" ht="15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P47" s="84" t="s">
        <v>158</v>
      </c>
      <c r="Q47" s="85">
        <v>12</v>
      </c>
      <c r="R47" s="85">
        <v>162.8</v>
      </c>
      <c r="S47" s="85">
        <v>180</v>
      </c>
      <c r="T47" s="86">
        <v>8.6</v>
      </c>
    </row>
    <row r="48" spans="1:20" ht="15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P48" s="84" t="s">
        <v>159</v>
      </c>
      <c r="Q48" s="85">
        <v>13</v>
      </c>
      <c r="R48" s="85">
        <v>180.8</v>
      </c>
      <c r="S48" s="85">
        <v>200</v>
      </c>
      <c r="T48" s="86">
        <v>9.6</v>
      </c>
    </row>
    <row r="49" spans="1:20" ht="15.75">
      <c r="A49" s="76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P49" s="84"/>
      <c r="Q49" s="85"/>
      <c r="R49" s="85"/>
      <c r="S49" s="85"/>
      <c r="T49" s="86"/>
    </row>
    <row r="50" spans="1:20" ht="15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P50" s="84">
        <v>7</v>
      </c>
      <c r="Q50" s="85"/>
      <c r="R50" s="85">
        <f>VLOOKUP(P50,Q36:T48,2,FALSE)</f>
        <v>81.4</v>
      </c>
      <c r="S50" s="85"/>
      <c r="T50" s="86"/>
    </row>
    <row r="51" spans="1:20" ht="15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P51" s="84">
        <v>7</v>
      </c>
      <c r="Q51" s="85"/>
      <c r="R51" s="85">
        <f>VLOOKUP(P51,Q36:T48,2,FALSE)</f>
        <v>81.4</v>
      </c>
      <c r="S51" s="85"/>
      <c r="T51" s="86"/>
    </row>
    <row r="52" spans="1:20" ht="15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P52" s="84">
        <v>1</v>
      </c>
      <c r="Q52" s="85"/>
      <c r="R52" s="85">
        <f>VLOOKUP(P52,Q36:T48,2,FALSE)</f>
        <v>0</v>
      </c>
      <c r="S52" s="85"/>
      <c r="T52" s="86"/>
    </row>
    <row r="53" spans="1:20" ht="15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P53" s="84">
        <v>1</v>
      </c>
      <c r="Q53" s="85"/>
      <c r="R53" s="85">
        <f>VLOOKUP(P53,Q36:T48,2,FALSE)</f>
        <v>0</v>
      </c>
      <c r="S53" s="85"/>
      <c r="T53" s="86"/>
    </row>
    <row r="54" spans="1:20" ht="15.75" thickBot="1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P54" s="87">
        <v>1</v>
      </c>
      <c r="Q54" s="88"/>
      <c r="R54" s="88">
        <f>VLOOKUP(P54,Q36:T48,2,FALSE)</f>
        <v>0</v>
      </c>
      <c r="S54" s="88"/>
      <c r="T54" s="89"/>
    </row>
    <row r="55" spans="1:12" ht="15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</row>
    <row r="56" spans="1:12" ht="15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</row>
    <row r="57" spans="1:12" ht="15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</row>
    <row r="58" spans="1:12" ht="15.75">
      <c r="A58" s="72"/>
      <c r="B58" s="72"/>
      <c r="C58" s="72"/>
      <c r="D58" s="72"/>
      <c r="E58" s="72"/>
      <c r="F58" s="75"/>
      <c r="G58" s="72"/>
      <c r="H58" s="72"/>
      <c r="I58" s="72"/>
      <c r="J58" s="72"/>
      <c r="K58" s="72"/>
      <c r="L58" s="72"/>
    </row>
    <row r="59" spans="1:12" ht="15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</row>
    <row r="60" spans="1:18" ht="15.75">
      <c r="A60" s="72"/>
      <c r="B60" s="72"/>
      <c r="C60" s="72"/>
      <c r="D60" s="72"/>
      <c r="E60" s="72"/>
      <c r="F60" s="75"/>
      <c r="G60" s="72"/>
      <c r="H60" s="72"/>
      <c r="I60" s="72"/>
      <c r="J60" s="72"/>
      <c r="K60" s="72"/>
      <c r="L60" s="72"/>
      <c r="P60" t="s">
        <v>164</v>
      </c>
      <c r="Q60" t="s">
        <v>196</v>
      </c>
      <c r="R60" t="s">
        <v>197</v>
      </c>
    </row>
    <row r="61" spans="1:18" ht="15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N61" t="s">
        <v>77</v>
      </c>
      <c r="O61">
        <v>1</v>
      </c>
      <c r="P61">
        <v>28</v>
      </c>
      <c r="Q61">
        <v>32</v>
      </c>
      <c r="R61">
        <v>2</v>
      </c>
    </row>
    <row r="62" spans="1:18" ht="15.75">
      <c r="A62" s="72"/>
      <c r="B62" s="72"/>
      <c r="C62" s="72"/>
      <c r="D62" s="72"/>
      <c r="E62" s="77"/>
      <c r="F62" s="77"/>
      <c r="G62" s="77"/>
      <c r="H62" s="77"/>
      <c r="I62" s="77"/>
      <c r="J62" s="77"/>
      <c r="K62" s="77"/>
      <c r="L62" s="72"/>
      <c r="N62" t="s">
        <v>160</v>
      </c>
      <c r="O62">
        <v>2</v>
      </c>
      <c r="P62">
        <v>36</v>
      </c>
      <c r="Q62">
        <v>40</v>
      </c>
      <c r="R62">
        <v>2</v>
      </c>
    </row>
    <row r="63" spans="1:18" ht="15.75">
      <c r="A63" s="72"/>
      <c r="B63" s="72"/>
      <c r="C63" s="72"/>
      <c r="D63" s="72"/>
      <c r="E63" s="77"/>
      <c r="F63" s="77"/>
      <c r="G63" s="77"/>
      <c r="H63" s="77"/>
      <c r="I63" s="77"/>
      <c r="J63" s="77"/>
      <c r="K63" s="77"/>
      <c r="L63" s="72"/>
      <c r="N63" t="s">
        <v>150</v>
      </c>
      <c r="O63">
        <v>3</v>
      </c>
      <c r="P63">
        <v>45.2</v>
      </c>
      <c r="Q63">
        <v>50</v>
      </c>
      <c r="R63">
        <v>2.4</v>
      </c>
    </row>
    <row r="64" spans="1:18" ht="15.75">
      <c r="A64" s="72"/>
      <c r="B64" s="72"/>
      <c r="C64" s="72"/>
      <c r="D64" s="72"/>
      <c r="E64" s="78"/>
      <c r="F64" s="78"/>
      <c r="G64" s="78"/>
      <c r="H64" s="78"/>
      <c r="I64" s="78"/>
      <c r="J64" s="78"/>
      <c r="K64" s="78"/>
      <c r="L64" s="72"/>
      <c r="N64" t="s">
        <v>151</v>
      </c>
      <c r="O64">
        <v>4</v>
      </c>
      <c r="P64">
        <v>57</v>
      </c>
      <c r="Q64">
        <v>63</v>
      </c>
      <c r="R64">
        <v>3</v>
      </c>
    </row>
    <row r="65" spans="1:18" ht="15">
      <c r="A65" s="72"/>
      <c r="B65" s="72"/>
      <c r="C65" s="72"/>
      <c r="D65" s="72"/>
      <c r="E65" s="79"/>
      <c r="F65" s="72"/>
      <c r="G65" s="72"/>
      <c r="H65" s="72"/>
      <c r="I65" s="72"/>
      <c r="J65" s="72"/>
      <c r="K65" s="72"/>
      <c r="L65" s="72"/>
      <c r="N65" t="s">
        <v>152</v>
      </c>
      <c r="O65">
        <v>5</v>
      </c>
      <c r="P65">
        <v>67.8</v>
      </c>
      <c r="Q65">
        <v>75</v>
      </c>
      <c r="R65">
        <v>3.6</v>
      </c>
    </row>
    <row r="66" spans="1:18" ht="15.75">
      <c r="A66" s="72"/>
      <c r="B66" s="72"/>
      <c r="C66" s="72"/>
      <c r="D66" s="72"/>
      <c r="E66" s="75"/>
      <c r="F66" s="72"/>
      <c r="G66" s="72"/>
      <c r="H66" s="72"/>
      <c r="I66" s="72"/>
      <c r="J66" s="72"/>
      <c r="K66" s="72"/>
      <c r="L66" s="72"/>
      <c r="N66" t="s">
        <v>153</v>
      </c>
      <c r="O66">
        <v>6</v>
      </c>
      <c r="P66">
        <v>81.4</v>
      </c>
      <c r="Q66">
        <v>90</v>
      </c>
      <c r="R66">
        <v>4.3</v>
      </c>
    </row>
    <row r="67" spans="1:18" ht="15.75">
      <c r="A67" s="72"/>
      <c r="B67" s="72"/>
      <c r="C67" s="72"/>
      <c r="D67" s="72"/>
      <c r="E67" s="75"/>
      <c r="F67" s="72"/>
      <c r="G67" s="72"/>
      <c r="H67" s="72"/>
      <c r="I67" s="72"/>
      <c r="J67" s="72"/>
      <c r="K67" s="72"/>
      <c r="L67" s="72"/>
      <c r="N67" t="s">
        <v>154</v>
      </c>
      <c r="O67">
        <v>7</v>
      </c>
      <c r="P67">
        <v>99.4</v>
      </c>
      <c r="Q67">
        <v>110</v>
      </c>
      <c r="R67">
        <v>5.3</v>
      </c>
    </row>
    <row r="68" spans="1:18" ht="15.75">
      <c r="A68" s="72"/>
      <c r="B68" s="72"/>
      <c r="C68" s="72"/>
      <c r="D68" s="72"/>
      <c r="E68" s="75"/>
      <c r="F68" s="72"/>
      <c r="G68" s="72"/>
      <c r="H68" s="72"/>
      <c r="I68" s="72"/>
      <c r="J68" s="72"/>
      <c r="K68" s="72"/>
      <c r="L68" s="72"/>
      <c r="N68" t="s">
        <v>155</v>
      </c>
      <c r="O68">
        <v>8</v>
      </c>
      <c r="P68">
        <v>113</v>
      </c>
      <c r="Q68">
        <v>125</v>
      </c>
      <c r="R68">
        <v>6</v>
      </c>
    </row>
    <row r="69" spans="1:18" ht="15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N69" t="s">
        <v>156</v>
      </c>
      <c r="O69">
        <v>9</v>
      </c>
      <c r="P69">
        <v>126.6</v>
      </c>
      <c r="Q69">
        <v>140</v>
      </c>
      <c r="R69">
        <v>6.7</v>
      </c>
    </row>
    <row r="70" spans="1:18" ht="15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N70" t="s">
        <v>157</v>
      </c>
      <c r="O70">
        <v>10</v>
      </c>
      <c r="P70">
        <v>144.6</v>
      </c>
      <c r="Q70">
        <v>160</v>
      </c>
      <c r="R70">
        <v>7.7</v>
      </c>
    </row>
    <row r="71" spans="1:18" ht="15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N71" t="s">
        <v>158</v>
      </c>
      <c r="O71">
        <v>11</v>
      </c>
      <c r="P71">
        <v>162.8</v>
      </c>
      <c r="Q71">
        <v>180</v>
      </c>
      <c r="R71">
        <v>8.6</v>
      </c>
    </row>
    <row r="72" spans="1:18" ht="1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N72" t="s">
        <v>159</v>
      </c>
      <c r="O72">
        <v>12</v>
      </c>
      <c r="P72">
        <v>180.8</v>
      </c>
      <c r="Q72">
        <v>200</v>
      </c>
      <c r="R72">
        <v>9.6</v>
      </c>
    </row>
    <row r="73" spans="1:12" ht="1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</row>
    <row r="74" spans="1:14" ht="1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N74" s="1">
        <v>7</v>
      </c>
    </row>
    <row r="75" spans="1:14" ht="15.75">
      <c r="A75" s="72"/>
      <c r="B75" s="72"/>
      <c r="C75" s="72"/>
      <c r="D75" s="72"/>
      <c r="E75" s="72"/>
      <c r="F75" s="75"/>
      <c r="G75" s="72"/>
      <c r="H75" s="72"/>
      <c r="I75" s="72"/>
      <c r="J75" s="72"/>
      <c r="K75" s="72"/>
      <c r="L75" s="72"/>
      <c r="N75" s="1">
        <f>VLOOKUP(N74,O61:P72,2,FALSE)</f>
        <v>99.4</v>
      </c>
    </row>
    <row r="76" spans="1:12" ht="15.75">
      <c r="A76" s="72"/>
      <c r="B76" s="72"/>
      <c r="C76" s="72"/>
      <c r="D76" s="72"/>
      <c r="E76" s="72"/>
      <c r="F76" s="75"/>
      <c r="G76" s="72"/>
      <c r="H76" s="72"/>
      <c r="I76" s="72"/>
      <c r="J76" s="72"/>
      <c r="K76" s="72"/>
      <c r="L76" s="72"/>
    </row>
    <row r="77" spans="1:12" ht="15.75">
      <c r="A77" s="72"/>
      <c r="B77" s="72"/>
      <c r="C77" s="72"/>
      <c r="D77" s="72"/>
      <c r="E77" s="72"/>
      <c r="F77" s="75"/>
      <c r="G77" s="72"/>
      <c r="H77" s="72"/>
      <c r="I77" s="72"/>
      <c r="J77" s="72"/>
      <c r="K77" s="72"/>
      <c r="L77" s="72"/>
    </row>
    <row r="78" spans="1:12" ht="15.75">
      <c r="A78" s="72"/>
      <c r="B78" s="72"/>
      <c r="C78" s="72"/>
      <c r="D78" s="72"/>
      <c r="E78" s="72"/>
      <c r="F78" s="75"/>
      <c r="G78" s="72"/>
      <c r="H78" s="72"/>
      <c r="I78" s="72"/>
      <c r="J78" s="72"/>
      <c r="K78" s="72"/>
      <c r="L78" s="72"/>
    </row>
    <row r="79" spans="1:12" ht="15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</row>
    <row r="80" spans="1:12" ht="15.75">
      <c r="A80" s="72"/>
      <c r="B80" s="72"/>
      <c r="C80" s="72"/>
      <c r="D80" s="72"/>
      <c r="E80" s="78"/>
      <c r="F80" s="80"/>
      <c r="G80" s="80"/>
      <c r="H80" s="80"/>
      <c r="I80" s="80"/>
      <c r="J80" s="80"/>
      <c r="K80" s="80"/>
      <c r="L80" s="72"/>
    </row>
    <row r="81" spans="1:12" ht="15.75">
      <c r="A81" s="72"/>
      <c r="B81" s="72"/>
      <c r="C81" s="72"/>
      <c r="D81" s="72"/>
      <c r="E81" s="78"/>
      <c r="F81" s="80"/>
      <c r="G81" s="80"/>
      <c r="H81" s="80"/>
      <c r="I81" s="80"/>
      <c r="J81" s="80"/>
      <c r="K81" s="80"/>
      <c r="L81" s="72"/>
    </row>
    <row r="82" spans="1:16" ht="15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P82" s="15"/>
    </row>
    <row r="83" spans="1:16" ht="15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P83" s="15"/>
    </row>
    <row r="84" spans="1:16" ht="15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P84" s="15" t="s">
        <v>164</v>
      </c>
    </row>
    <row r="85" spans="1:18" ht="15.75">
      <c r="A85" s="72"/>
      <c r="B85" s="72"/>
      <c r="C85" s="72"/>
      <c r="D85" s="72"/>
      <c r="E85" s="75"/>
      <c r="F85" s="72"/>
      <c r="G85" s="72"/>
      <c r="H85" s="72"/>
      <c r="I85" s="72"/>
      <c r="J85" s="72"/>
      <c r="K85" s="72"/>
      <c r="L85" s="72"/>
      <c r="N85" t="s">
        <v>189</v>
      </c>
      <c r="O85">
        <v>1</v>
      </c>
      <c r="P85">
        <v>47</v>
      </c>
      <c r="Q85">
        <v>50</v>
      </c>
      <c r="R85">
        <v>1.5</v>
      </c>
    </row>
    <row r="86" spans="1:18" ht="15.75">
      <c r="A86" s="72"/>
      <c r="B86" s="72"/>
      <c r="C86" s="72"/>
      <c r="D86" s="72"/>
      <c r="E86" s="75"/>
      <c r="F86" s="72"/>
      <c r="G86" s="72"/>
      <c r="H86" s="72"/>
      <c r="I86" s="72"/>
      <c r="J86" s="72"/>
      <c r="K86" s="72"/>
      <c r="L86" s="72"/>
      <c r="N86" t="s">
        <v>190</v>
      </c>
      <c r="O86">
        <v>2</v>
      </c>
      <c r="P86">
        <v>59.2</v>
      </c>
      <c r="Q86">
        <v>63</v>
      </c>
      <c r="R86">
        <v>1.9</v>
      </c>
    </row>
    <row r="87" spans="1:18" ht="15.75">
      <c r="A87" s="72"/>
      <c r="B87" s="72"/>
      <c r="C87" s="72"/>
      <c r="D87" s="72"/>
      <c r="E87" s="75"/>
      <c r="F87" s="72"/>
      <c r="G87" s="72"/>
      <c r="H87" s="72"/>
      <c r="I87" s="72"/>
      <c r="J87" s="72"/>
      <c r="K87" s="72"/>
      <c r="L87" s="72"/>
      <c r="N87" t="s">
        <v>191</v>
      </c>
      <c r="O87">
        <v>3</v>
      </c>
      <c r="P87">
        <v>70.6</v>
      </c>
      <c r="Q87">
        <v>75</v>
      </c>
      <c r="R87">
        <v>2.2</v>
      </c>
    </row>
    <row r="88" spans="1:18" ht="15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N88" t="s">
        <v>192</v>
      </c>
      <c r="O88">
        <v>4</v>
      </c>
      <c r="P88">
        <v>84.6</v>
      </c>
      <c r="Q88">
        <v>90</v>
      </c>
      <c r="R88">
        <v>2.7</v>
      </c>
    </row>
    <row r="89" spans="14:18" ht="15">
      <c r="N89" t="s">
        <v>165</v>
      </c>
      <c r="O89">
        <v>5</v>
      </c>
      <c r="P89">
        <v>104.6</v>
      </c>
      <c r="Q89">
        <v>110</v>
      </c>
      <c r="R89">
        <v>2.7</v>
      </c>
    </row>
    <row r="90" spans="14:18" ht="15">
      <c r="N90" t="s">
        <v>166</v>
      </c>
      <c r="O90">
        <v>6</v>
      </c>
      <c r="P90">
        <v>118.8</v>
      </c>
      <c r="Q90">
        <v>125</v>
      </c>
      <c r="R90">
        <v>3.1</v>
      </c>
    </row>
    <row r="91" spans="14:18" ht="15">
      <c r="N91" t="s">
        <v>167</v>
      </c>
      <c r="O91">
        <v>7</v>
      </c>
      <c r="P91">
        <v>133</v>
      </c>
      <c r="Q91">
        <v>140</v>
      </c>
      <c r="R91">
        <v>3.5</v>
      </c>
    </row>
    <row r="92" spans="14:18" ht="15">
      <c r="N92" t="s">
        <v>168</v>
      </c>
      <c r="O92">
        <v>8</v>
      </c>
      <c r="P92">
        <v>152</v>
      </c>
      <c r="Q92">
        <v>160</v>
      </c>
      <c r="R92">
        <v>4</v>
      </c>
    </row>
    <row r="93" spans="14:18" ht="15">
      <c r="N93" t="s">
        <v>169</v>
      </c>
      <c r="O93">
        <v>9</v>
      </c>
      <c r="P93">
        <v>171.2</v>
      </c>
      <c r="Q93">
        <v>180</v>
      </c>
      <c r="R93">
        <v>4.4</v>
      </c>
    </row>
    <row r="94" spans="14:18" ht="15">
      <c r="N94" t="s">
        <v>170</v>
      </c>
      <c r="O94">
        <v>10</v>
      </c>
      <c r="P94">
        <v>190.2</v>
      </c>
      <c r="Q94">
        <v>200</v>
      </c>
      <c r="R94">
        <v>4.9</v>
      </c>
    </row>
    <row r="95" spans="14:18" ht="15">
      <c r="N95" t="s">
        <v>171</v>
      </c>
      <c r="O95">
        <v>11</v>
      </c>
      <c r="P95">
        <v>214</v>
      </c>
      <c r="Q95">
        <v>225</v>
      </c>
      <c r="R95">
        <v>5.5</v>
      </c>
    </row>
    <row r="96" spans="14:18" ht="15">
      <c r="N96" t="s">
        <v>172</v>
      </c>
      <c r="O96">
        <v>12</v>
      </c>
      <c r="P96">
        <v>237.6</v>
      </c>
      <c r="Q96">
        <v>250</v>
      </c>
      <c r="R96">
        <v>6.2</v>
      </c>
    </row>
    <row r="97" spans="14:18" ht="15">
      <c r="N97" t="s">
        <v>173</v>
      </c>
      <c r="O97">
        <v>13</v>
      </c>
      <c r="P97">
        <v>266.2</v>
      </c>
      <c r="Q97">
        <v>280</v>
      </c>
      <c r="R97">
        <v>6.9</v>
      </c>
    </row>
    <row r="98" spans="14:18" ht="15">
      <c r="N98" t="s">
        <v>174</v>
      </c>
      <c r="O98">
        <v>14</v>
      </c>
      <c r="P98">
        <v>299.6</v>
      </c>
      <c r="Q98">
        <v>315</v>
      </c>
      <c r="R98">
        <v>7.7</v>
      </c>
    </row>
    <row r="99" spans="14:18" ht="15">
      <c r="N99" t="s">
        <v>175</v>
      </c>
      <c r="O99">
        <v>15</v>
      </c>
      <c r="P99">
        <v>337.6</v>
      </c>
      <c r="Q99">
        <v>355</v>
      </c>
      <c r="R99">
        <v>8.7</v>
      </c>
    </row>
    <row r="100" spans="14:18" ht="15">
      <c r="N100" t="s">
        <v>176</v>
      </c>
      <c r="O100">
        <v>16</v>
      </c>
      <c r="P100">
        <v>380.4</v>
      </c>
      <c r="Q100">
        <v>400</v>
      </c>
      <c r="R100">
        <v>9.8</v>
      </c>
    </row>
    <row r="101" spans="14:18" ht="15">
      <c r="N101" t="s">
        <v>177</v>
      </c>
      <c r="O101">
        <v>17</v>
      </c>
      <c r="P101">
        <v>428</v>
      </c>
      <c r="Q101">
        <v>450</v>
      </c>
      <c r="R101">
        <v>11</v>
      </c>
    </row>
    <row r="102" spans="14:18" ht="15">
      <c r="N102" t="s">
        <v>178</v>
      </c>
      <c r="O102">
        <v>18</v>
      </c>
      <c r="P102">
        <v>475.4</v>
      </c>
      <c r="Q102">
        <v>500</v>
      </c>
      <c r="R102">
        <v>12.3</v>
      </c>
    </row>
    <row r="103" spans="14:18" ht="15">
      <c r="N103" t="s">
        <v>179</v>
      </c>
      <c r="O103">
        <v>19</v>
      </c>
      <c r="P103">
        <v>532.6</v>
      </c>
      <c r="Q103">
        <v>560</v>
      </c>
      <c r="R103">
        <v>13.7</v>
      </c>
    </row>
    <row r="104" spans="14:18" ht="15">
      <c r="N104" t="s">
        <v>180</v>
      </c>
      <c r="O104">
        <v>20</v>
      </c>
      <c r="P104">
        <v>599.2</v>
      </c>
      <c r="Q104">
        <v>630</v>
      </c>
      <c r="R104">
        <v>15.4</v>
      </c>
    </row>
    <row r="105" spans="14:18" ht="15">
      <c r="N105" t="s">
        <v>181</v>
      </c>
      <c r="O105">
        <v>21</v>
      </c>
      <c r="P105">
        <v>675.2</v>
      </c>
      <c r="Q105">
        <v>710</v>
      </c>
      <c r="R105">
        <v>17.4</v>
      </c>
    </row>
    <row r="106" spans="14:18" ht="15">
      <c r="N106" t="s">
        <v>182</v>
      </c>
      <c r="O106">
        <v>22</v>
      </c>
      <c r="P106">
        <v>760.8</v>
      </c>
      <c r="Q106">
        <v>800</v>
      </c>
      <c r="R106">
        <v>19.6</v>
      </c>
    </row>
    <row r="107" spans="14:18" ht="15">
      <c r="N107" t="s">
        <v>183</v>
      </c>
      <c r="O107">
        <v>23</v>
      </c>
      <c r="P107">
        <v>856</v>
      </c>
      <c r="Q107">
        <v>900</v>
      </c>
      <c r="R107">
        <v>22</v>
      </c>
    </row>
    <row r="108" spans="14:18" ht="15">
      <c r="N108" t="s">
        <v>184</v>
      </c>
      <c r="O108">
        <v>24</v>
      </c>
      <c r="P108">
        <v>951</v>
      </c>
      <c r="Q108">
        <v>1000</v>
      </c>
      <c r="R108">
        <v>24.5</v>
      </c>
    </row>
    <row r="114" ht="15">
      <c r="N114" s="1">
        <v>5</v>
      </c>
    </row>
    <row r="115" ht="15">
      <c r="N115" s="1">
        <f>VLOOKUP(N114,O85:P108,2,FALSE)</f>
        <v>104.6</v>
      </c>
    </row>
  </sheetData>
  <sheetProtection/>
  <mergeCells count="16">
    <mergeCell ref="E62:K62"/>
    <mergeCell ref="E63:K63"/>
    <mergeCell ref="P7:T7"/>
    <mergeCell ref="P34:T34"/>
    <mergeCell ref="G10:H10"/>
    <mergeCell ref="A37:F37"/>
    <mergeCell ref="A39:F39"/>
    <mergeCell ref="E10:F10"/>
    <mergeCell ref="A2:L2"/>
    <mergeCell ref="A4:L4"/>
    <mergeCell ref="A5:L5"/>
    <mergeCell ref="A8:F8"/>
    <mergeCell ref="A29:F29"/>
    <mergeCell ref="A31:F31"/>
    <mergeCell ref="A33:F33"/>
    <mergeCell ref="A35:F35"/>
  </mergeCells>
  <printOptions/>
  <pageMargins left="0.7" right="0.7" top="0.75" bottom="0.75" header="0.3" footer="0.3"/>
  <pageSetup horizontalDpi="600" verticalDpi="6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jlopezo</dc:creator>
  <cp:keywords/>
  <dc:description/>
  <cp:lastModifiedBy>jlopezo</cp:lastModifiedBy>
  <dcterms:created xsi:type="dcterms:W3CDTF">2008-11-11T17:02:48Z</dcterms:created>
  <dcterms:modified xsi:type="dcterms:W3CDTF">2008-11-19T01:09:35Z</dcterms:modified>
  <cp:category/>
  <cp:version/>
  <cp:contentType/>
  <cp:contentStatus/>
</cp:coreProperties>
</file>